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drawings/drawing15.xml" ContentType="application/vnd.openxmlformats-officedocument.drawing+xml"/>
  <Override PartName="/xl/comments12.xml" ContentType="application/vnd.openxmlformats-officedocument.spreadsheetml.comments+xml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drawings/drawing17.xml" ContentType="application/vnd.openxmlformats-officedocument.drawing+xml"/>
  <Override PartName="/xl/comments14.xml" ContentType="application/vnd.openxmlformats-officedocument.spreadsheetml.comments+xml"/>
  <Override PartName="/xl/drawings/drawing18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25" yWindow="1125" windowWidth="11550" windowHeight="6420" tabRatio="807" firstSheet="39" activeTab="45"/>
  </bookViews>
  <sheets>
    <sheet name="CAP May 11" sheetId="93" state="hidden" r:id="rId1"/>
    <sheet name="CAP May 24" sheetId="108" state="hidden" r:id="rId2"/>
    <sheet name="CAP May 24 (2)" sheetId="110" state="hidden" r:id="rId3"/>
    <sheet name="Octubre 01" sheetId="172" r:id="rId4"/>
    <sheet name="Octubre 02" sheetId="319" r:id="rId5"/>
    <sheet name="Octubre 03" sheetId="320" r:id="rId6"/>
    <sheet name="Octubre 04" sheetId="321" r:id="rId7"/>
    <sheet name="Octubre 05" sheetId="322" r:id="rId8"/>
    <sheet name="Octubre 06" sheetId="323" r:id="rId9"/>
    <sheet name="Octubre 06 (2)" sheetId="326" r:id="rId10"/>
    <sheet name="Octubre 07" sheetId="325" r:id="rId11"/>
    <sheet name="Octubre 07 (2)" sheetId="327" r:id="rId12"/>
    <sheet name="Octubre 07 (3)" sheetId="328" r:id="rId13"/>
    <sheet name="Octubre 07 (4)" sheetId="329" r:id="rId14"/>
    <sheet name="Octubre 07 (5)" sheetId="331" r:id="rId15"/>
    <sheet name="Octubre 08" sheetId="330" r:id="rId16"/>
    <sheet name="Octubre 09" sheetId="332" r:id="rId17"/>
    <sheet name="Octubre 09 (2)" sheetId="333" r:id="rId18"/>
    <sheet name="Octubre 10" sheetId="334" r:id="rId19"/>
    <sheet name="Octubre 11" sheetId="335" r:id="rId20"/>
    <sheet name="Octubre 12" sheetId="336" r:id="rId21"/>
    <sheet name="Octubre 12 (2)" sheetId="337" r:id="rId22"/>
    <sheet name="Octubre 13" sheetId="338" r:id="rId23"/>
    <sheet name="Octubre 14" sheetId="339" r:id="rId24"/>
    <sheet name="Octubre 15" sheetId="340" r:id="rId25"/>
    <sheet name="Octubre 16" sheetId="341" r:id="rId26"/>
    <sheet name="Octubre 17" sheetId="342" r:id="rId27"/>
    <sheet name="Octubre 17 (2)" sheetId="343" r:id="rId28"/>
    <sheet name="Octubre 18" sheetId="344" r:id="rId29"/>
    <sheet name="Octubre 18 (2)" sheetId="345" r:id="rId30"/>
    <sheet name="Octubre 19" sheetId="346" r:id="rId31"/>
    <sheet name="Octubre 20" sheetId="347" r:id="rId32"/>
    <sheet name="Octubre 20 (2)" sheetId="348" r:id="rId33"/>
    <sheet name="Octubre 21" sheetId="349" r:id="rId34"/>
    <sheet name="Octubre 21 (2)" sheetId="351" r:id="rId35"/>
    <sheet name="Octubre 22" sheetId="350" r:id="rId36"/>
    <sheet name="Octubre 22 (2)" sheetId="353" r:id="rId37"/>
    <sheet name="Octubre 23" sheetId="352" r:id="rId38"/>
    <sheet name="Ago 13 14 (3)" sheetId="193" state="hidden" r:id="rId39"/>
    <sheet name="Octubre 24" sheetId="355" r:id="rId40"/>
    <sheet name="Octubre 24 (2)" sheetId="356" r:id="rId41"/>
    <sheet name="Octubre 24 (3)" sheetId="357" r:id="rId42"/>
    <sheet name="Octubre 25" sheetId="358" r:id="rId43"/>
    <sheet name="Octubre 25 (2)" sheetId="359" r:id="rId44"/>
    <sheet name="Octubre 25 (3)" sheetId="360" r:id="rId45"/>
    <sheet name="Octubre 26" sheetId="361" r:id="rId46"/>
    <sheet name="Sheet1" sheetId="354" r:id="rId47"/>
  </sheets>
  <externalReferences>
    <externalReference r:id="rId48"/>
  </externalReferences>
  <definedNames>
    <definedName name="_xlnm._FilterDatabase" localSheetId="3" hidden="1">'Octubre 01'!$A$1:$AN$152</definedName>
    <definedName name="_xlnm._FilterDatabase" localSheetId="4" hidden="1">'Octubre 02'!$A$1:$AN$152</definedName>
    <definedName name="_xlnm._FilterDatabase" localSheetId="5" hidden="1">'Octubre 03'!$A$1:$AN$152</definedName>
    <definedName name="_xlnm._FilterDatabase" localSheetId="6" hidden="1">'Octubre 04'!$A$1:$AN$152</definedName>
    <definedName name="_xlnm._FilterDatabase" localSheetId="7" hidden="1">'Octubre 05'!$A$1:$AN$152</definedName>
    <definedName name="_xlnm._FilterDatabase" localSheetId="8" hidden="1">'Octubre 06'!$A$1:$AN$152</definedName>
    <definedName name="_xlnm._FilterDatabase" localSheetId="9" hidden="1">'Octubre 06 (2)'!$A$1:$AN$152</definedName>
    <definedName name="_xlnm._FilterDatabase" localSheetId="10" hidden="1">'Octubre 07'!$A$1:$AN$152</definedName>
    <definedName name="_xlnm._FilterDatabase" localSheetId="11" hidden="1">'Octubre 07 (2)'!$A$1:$AN$152</definedName>
    <definedName name="_xlnm._FilterDatabase" localSheetId="12" hidden="1">'Octubre 07 (3)'!$A$1:$AN$152</definedName>
    <definedName name="_xlnm._FilterDatabase" localSheetId="13" hidden="1">'Octubre 07 (4)'!$A$1:$AN$152</definedName>
    <definedName name="_xlnm._FilterDatabase" localSheetId="14" hidden="1">'Octubre 07 (5)'!$A$1:$AN$152</definedName>
    <definedName name="_xlnm._FilterDatabase" localSheetId="15" hidden="1">'Octubre 08'!$A$1:$AN$152</definedName>
    <definedName name="_xlnm._FilterDatabase" localSheetId="16" hidden="1">'Octubre 09'!$A$1:$AN$152</definedName>
    <definedName name="_xlnm._FilterDatabase" localSheetId="17" hidden="1">'Octubre 09 (2)'!$A$1:$AN$152</definedName>
    <definedName name="_xlnm._FilterDatabase" localSheetId="18" hidden="1">'Octubre 10'!$A$1:$AN$152</definedName>
    <definedName name="_xlnm._FilterDatabase" localSheetId="19" hidden="1">'Octubre 11'!$A$1:$AN$152</definedName>
    <definedName name="_xlnm._FilterDatabase" localSheetId="20" hidden="1">'Octubre 12'!$A$1:$AN$152</definedName>
    <definedName name="_xlnm._FilterDatabase" localSheetId="21" hidden="1">'Octubre 12 (2)'!$A$1:$AN$152</definedName>
    <definedName name="_xlnm._FilterDatabase" localSheetId="22" hidden="1">'Octubre 13'!$A$1:$AN$152</definedName>
    <definedName name="_xlnm._FilterDatabase" localSheetId="23" hidden="1">'Octubre 14'!$A$1:$AN$152</definedName>
    <definedName name="_xlnm._FilterDatabase" localSheetId="24" hidden="1">'Octubre 15'!$A$1:$AN$152</definedName>
    <definedName name="_xlnm._FilterDatabase" localSheetId="25" hidden="1">'Octubre 16'!$A$1:$AN$152</definedName>
    <definedName name="_xlnm._FilterDatabase" localSheetId="26" hidden="1">'Octubre 17'!$A$1:$AN$152</definedName>
    <definedName name="_xlnm._FilterDatabase" localSheetId="27" hidden="1">'Octubre 17 (2)'!$A$1:$AN$152</definedName>
    <definedName name="_xlnm._FilterDatabase" localSheetId="28" hidden="1">'Octubre 18'!$A$1:$AN$152</definedName>
    <definedName name="_xlnm._FilterDatabase" localSheetId="29" hidden="1">'Octubre 18 (2)'!$A$1:$AN$152</definedName>
    <definedName name="_xlnm._FilterDatabase" localSheetId="30" hidden="1">'Octubre 19'!$A$1:$AN$152</definedName>
    <definedName name="_xlnm._FilterDatabase" localSheetId="31" hidden="1">'Octubre 20'!$A$1:$AN$152</definedName>
    <definedName name="_xlnm._FilterDatabase" localSheetId="32" hidden="1">'Octubre 20 (2)'!$A$1:$AN$152</definedName>
    <definedName name="_xlnm._FilterDatabase" localSheetId="33" hidden="1">'Octubre 21'!$A$1:$AN$152</definedName>
    <definedName name="_xlnm._FilterDatabase" localSheetId="34" hidden="1">'Octubre 21 (2)'!$A$1:$AN$152</definedName>
    <definedName name="_xlnm._FilterDatabase" localSheetId="35" hidden="1">'Octubre 22'!$A$1:$AN$152</definedName>
    <definedName name="_xlnm._FilterDatabase" localSheetId="36" hidden="1">'Octubre 22 (2)'!$A$1:$AN$152</definedName>
    <definedName name="_xlnm._FilterDatabase" localSheetId="37" hidden="1">'Octubre 23'!$A$1:$AN$152</definedName>
    <definedName name="_xlnm._FilterDatabase" localSheetId="39" hidden="1">'Octubre 24'!$A$1:$AN$152</definedName>
    <definedName name="_xlnm._FilterDatabase" localSheetId="40" hidden="1">'Octubre 24 (2)'!$A$1:$AN$152</definedName>
    <definedName name="_xlnm._FilterDatabase" localSheetId="41" hidden="1">'Octubre 24 (3)'!$A$1:$AN$152</definedName>
    <definedName name="_xlnm._FilterDatabase" localSheetId="42" hidden="1">'Octubre 25'!$A$1:$AN$152</definedName>
    <definedName name="_xlnm._FilterDatabase" localSheetId="43" hidden="1">'Octubre 25 (2)'!$A$1:$AN$152</definedName>
    <definedName name="_xlnm._FilterDatabase" localSheetId="44" hidden="1">'Octubre 25 (3)'!$A$1:$AN$152</definedName>
    <definedName name="_xlnm._FilterDatabase" localSheetId="45" hidden="1">'Octubre 26'!$A$1:$AN$152</definedName>
    <definedName name="CBWorkbookPriority" hidden="1">-1995419323</definedName>
  </definedNames>
  <calcPr calcId="145621" iterate="1"/>
</workbook>
</file>

<file path=xl/calcChain.xml><?xml version="1.0" encoding="utf-8"?>
<calcChain xmlns="http://schemas.openxmlformats.org/spreadsheetml/2006/main">
  <c r="AA69" i="361" l="1"/>
  <c r="AA68" i="361"/>
  <c r="AF52" i="360" l="1"/>
  <c r="I7" i="361" l="1"/>
  <c r="H7" i="361"/>
  <c r="Z8" i="361"/>
  <c r="U123" i="361"/>
  <c r="I113" i="361"/>
  <c r="P105" i="361"/>
  <c r="M105" i="361"/>
  <c r="J105" i="361"/>
  <c r="U103" i="361"/>
  <c r="T103" i="361"/>
  <c r="S103" i="361"/>
  <c r="V103" i="361" s="1"/>
  <c r="Q103" i="361"/>
  <c r="K103" i="361"/>
  <c r="AA102" i="361"/>
  <c r="U102" i="361"/>
  <c r="T102" i="361"/>
  <c r="S102" i="361"/>
  <c r="Q102" i="361"/>
  <c r="K102" i="361"/>
  <c r="U101" i="361"/>
  <c r="T101" i="361"/>
  <c r="S101" i="361"/>
  <c r="V101" i="361" s="1"/>
  <c r="Q101" i="361"/>
  <c r="K101" i="361"/>
  <c r="AA100" i="361"/>
  <c r="U100" i="361"/>
  <c r="T100" i="361"/>
  <c r="S100" i="361"/>
  <c r="Q100" i="361"/>
  <c r="K100" i="361"/>
  <c r="AA99" i="361"/>
  <c r="U99" i="361"/>
  <c r="T99" i="361"/>
  <c r="S99" i="361"/>
  <c r="Q99" i="361"/>
  <c r="K99" i="361"/>
  <c r="AA98" i="361"/>
  <c r="U98" i="361"/>
  <c r="T98" i="361"/>
  <c r="S98" i="361"/>
  <c r="V98" i="361" s="1"/>
  <c r="Q98" i="361"/>
  <c r="K98" i="361"/>
  <c r="U97" i="361"/>
  <c r="T97" i="361"/>
  <c r="V97" i="361" s="1"/>
  <c r="S97" i="361"/>
  <c r="Q97" i="361"/>
  <c r="K97" i="361"/>
  <c r="U96" i="361"/>
  <c r="T96" i="361"/>
  <c r="S96" i="361"/>
  <c r="Q96" i="361"/>
  <c r="K96" i="361"/>
  <c r="AA95" i="361"/>
  <c r="U95" i="361"/>
  <c r="T95" i="361"/>
  <c r="S95" i="361"/>
  <c r="V95" i="361" s="1"/>
  <c r="Q95" i="361"/>
  <c r="K95" i="361"/>
  <c r="AA94" i="361"/>
  <c r="U94" i="361"/>
  <c r="T94" i="361"/>
  <c r="S94" i="361"/>
  <c r="Q94" i="361"/>
  <c r="K94" i="361"/>
  <c r="AA93" i="361"/>
  <c r="U93" i="361"/>
  <c r="T93" i="361"/>
  <c r="S93" i="361"/>
  <c r="Q93" i="361"/>
  <c r="K93" i="361"/>
  <c r="AA92" i="361"/>
  <c r="U92" i="361"/>
  <c r="T92" i="361"/>
  <c r="S92" i="361"/>
  <c r="Q92" i="361"/>
  <c r="K92" i="361"/>
  <c r="U91" i="361"/>
  <c r="T91" i="361"/>
  <c r="S91" i="361"/>
  <c r="Q91" i="361"/>
  <c r="K91" i="361"/>
  <c r="U90" i="361"/>
  <c r="V90" i="361" s="1"/>
  <c r="T90" i="361"/>
  <c r="S90" i="361"/>
  <c r="Q90" i="361"/>
  <c r="K90" i="361"/>
  <c r="U89" i="361"/>
  <c r="T89" i="361"/>
  <c r="S89" i="361"/>
  <c r="V89" i="361" s="1"/>
  <c r="Q89" i="361"/>
  <c r="K89" i="361"/>
  <c r="U88" i="361"/>
  <c r="T88" i="361"/>
  <c r="S88" i="361"/>
  <c r="V88" i="361" s="1"/>
  <c r="Q88" i="361"/>
  <c r="K88" i="361"/>
  <c r="AE87" i="361"/>
  <c r="AA87" i="361"/>
  <c r="Y87" i="361"/>
  <c r="U87" i="361"/>
  <c r="T87" i="361"/>
  <c r="S87" i="361"/>
  <c r="Q87" i="361"/>
  <c r="K87" i="361"/>
  <c r="AF86" i="361"/>
  <c r="AG86" i="361" s="1"/>
  <c r="AH86" i="361" s="1"/>
  <c r="AH87" i="361" s="1"/>
  <c r="AH88" i="361" s="1"/>
  <c r="U86" i="361"/>
  <c r="T86" i="361"/>
  <c r="S86" i="361"/>
  <c r="Q86" i="361"/>
  <c r="K86" i="361"/>
  <c r="U85" i="361"/>
  <c r="V85" i="361" s="1"/>
  <c r="T85" i="361"/>
  <c r="S85" i="361"/>
  <c r="Q85" i="361"/>
  <c r="K85" i="361"/>
  <c r="U84" i="361"/>
  <c r="T84" i="361"/>
  <c r="S84" i="361"/>
  <c r="V84" i="361" s="1"/>
  <c r="X84" i="361" s="1"/>
  <c r="Q84" i="361"/>
  <c r="K84" i="361"/>
  <c r="U83" i="361"/>
  <c r="V83" i="361" s="1"/>
  <c r="T83" i="361"/>
  <c r="S83" i="361"/>
  <c r="Q83" i="361"/>
  <c r="K83" i="361"/>
  <c r="U82" i="361"/>
  <c r="T82" i="361"/>
  <c r="S82" i="361"/>
  <c r="V82" i="361" s="1"/>
  <c r="Q82" i="361"/>
  <c r="K82" i="361"/>
  <c r="AA81" i="361"/>
  <c r="AA86" i="361" s="1"/>
  <c r="AB86" i="361" s="1"/>
  <c r="AC86" i="361" s="1"/>
  <c r="AD86" i="361" s="1"/>
  <c r="AD87" i="361" s="1"/>
  <c r="AD88" i="361" s="1"/>
  <c r="Z81" i="361"/>
  <c r="V81" i="361"/>
  <c r="U81" i="361"/>
  <c r="T81" i="361"/>
  <c r="S81" i="361"/>
  <c r="Q81" i="361"/>
  <c r="K81" i="361"/>
  <c r="AI80" i="361"/>
  <c r="U80" i="361"/>
  <c r="V80" i="361" s="1"/>
  <c r="T80" i="361"/>
  <c r="S80" i="361"/>
  <c r="Q80" i="361"/>
  <c r="K80" i="361"/>
  <c r="AI79" i="361"/>
  <c r="U79" i="361"/>
  <c r="T79" i="361"/>
  <c r="S79" i="361"/>
  <c r="Q79" i="361"/>
  <c r="K79" i="361"/>
  <c r="AI78" i="361"/>
  <c r="U78" i="361"/>
  <c r="T78" i="361"/>
  <c r="S78" i="361"/>
  <c r="Q78" i="361"/>
  <c r="K78" i="361"/>
  <c r="U77" i="361"/>
  <c r="T77" i="361"/>
  <c r="S77" i="361"/>
  <c r="V77" i="361" s="1"/>
  <c r="Q77" i="361"/>
  <c r="K77" i="361"/>
  <c r="U76" i="361"/>
  <c r="T76" i="361"/>
  <c r="S76" i="361"/>
  <c r="V76" i="361" s="1"/>
  <c r="Q76" i="361"/>
  <c r="K76" i="361"/>
  <c r="U75" i="361"/>
  <c r="V75" i="361" s="1"/>
  <c r="T75" i="361"/>
  <c r="S75" i="361"/>
  <c r="Q75" i="361"/>
  <c r="K75" i="361"/>
  <c r="U74" i="361"/>
  <c r="T74" i="361"/>
  <c r="S74" i="361"/>
  <c r="V74" i="361" s="1"/>
  <c r="Q74" i="361"/>
  <c r="K74" i="361"/>
  <c r="AD73" i="361"/>
  <c r="Z73" i="361"/>
  <c r="U73" i="361"/>
  <c r="T73" i="361"/>
  <c r="S73" i="361"/>
  <c r="V73" i="361" s="1"/>
  <c r="Q73" i="361"/>
  <c r="K73" i="361"/>
  <c r="U72" i="361"/>
  <c r="T72" i="361"/>
  <c r="S72" i="361"/>
  <c r="Q72" i="361"/>
  <c r="K72" i="361"/>
  <c r="U71" i="361"/>
  <c r="T71" i="361"/>
  <c r="S71" i="361"/>
  <c r="Q71" i="361"/>
  <c r="K71" i="361"/>
  <c r="U70" i="361"/>
  <c r="T70" i="361"/>
  <c r="S70" i="361"/>
  <c r="Q70" i="361"/>
  <c r="K70" i="361"/>
  <c r="U69" i="361"/>
  <c r="T69" i="361"/>
  <c r="S69" i="361"/>
  <c r="V69" i="361" s="1"/>
  <c r="Q69" i="361"/>
  <c r="K69" i="361"/>
  <c r="V68" i="361"/>
  <c r="U68" i="361"/>
  <c r="T68" i="361"/>
  <c r="S68" i="361"/>
  <c r="Q68" i="361"/>
  <c r="K68" i="361"/>
  <c r="AA67" i="361"/>
  <c r="U67" i="361"/>
  <c r="T67" i="361"/>
  <c r="V67" i="361" s="1"/>
  <c r="S67" i="361"/>
  <c r="Q67" i="361"/>
  <c r="K67" i="361"/>
  <c r="U66" i="361"/>
  <c r="T66" i="361"/>
  <c r="S66" i="361"/>
  <c r="Q66" i="361"/>
  <c r="K66" i="361"/>
  <c r="U65" i="361"/>
  <c r="T65" i="361"/>
  <c r="S65" i="361"/>
  <c r="Q65" i="361"/>
  <c r="K65" i="361"/>
  <c r="U64" i="361"/>
  <c r="T64" i="361"/>
  <c r="S64" i="361"/>
  <c r="Q64" i="361"/>
  <c r="K64" i="361"/>
  <c r="U63" i="361"/>
  <c r="T63" i="361"/>
  <c r="V63" i="361" s="1"/>
  <c r="S63" i="361"/>
  <c r="Q63" i="361"/>
  <c r="K63" i="361"/>
  <c r="U62" i="361"/>
  <c r="T62" i="361"/>
  <c r="S62" i="361"/>
  <c r="Q62" i="361"/>
  <c r="K62" i="361"/>
  <c r="U61" i="361"/>
  <c r="T61" i="361"/>
  <c r="S61" i="361"/>
  <c r="V61" i="361" s="1"/>
  <c r="Q61" i="361"/>
  <c r="K61" i="361"/>
  <c r="AA60" i="361"/>
  <c r="AC80" i="361" s="1"/>
  <c r="U60" i="361"/>
  <c r="T60" i="361"/>
  <c r="S60" i="361"/>
  <c r="Q60" i="361"/>
  <c r="K60" i="361"/>
  <c r="AB59" i="361"/>
  <c r="AA59" i="361"/>
  <c r="AC79" i="361" s="1"/>
  <c r="U59" i="361"/>
  <c r="T59" i="361"/>
  <c r="S59" i="361"/>
  <c r="Q59" i="361"/>
  <c r="K59" i="361"/>
  <c r="AL58" i="361"/>
  <c r="AB58" i="361"/>
  <c r="AA58" i="361"/>
  <c r="AF58" i="361" s="1"/>
  <c r="U58" i="361"/>
  <c r="T58" i="361"/>
  <c r="S58" i="361"/>
  <c r="Q58" i="361"/>
  <c r="K58" i="361"/>
  <c r="V57" i="361"/>
  <c r="U57" i="361"/>
  <c r="T57" i="361"/>
  <c r="S57" i="361"/>
  <c r="Q57" i="361"/>
  <c r="K57" i="361"/>
  <c r="U56" i="361"/>
  <c r="T56" i="361"/>
  <c r="S56" i="361"/>
  <c r="Q56" i="361"/>
  <c r="K56" i="361"/>
  <c r="U55" i="361"/>
  <c r="T55" i="361"/>
  <c r="S55" i="361"/>
  <c r="Q55" i="361"/>
  <c r="K55" i="361"/>
  <c r="U54" i="361"/>
  <c r="T54" i="361"/>
  <c r="S54" i="361"/>
  <c r="Q54" i="361"/>
  <c r="K54" i="361"/>
  <c r="AK53" i="361"/>
  <c r="Y53" i="361"/>
  <c r="U53" i="361"/>
  <c r="T53" i="361"/>
  <c r="Q53" i="361"/>
  <c r="S53" i="361" s="1"/>
  <c r="K53" i="361"/>
  <c r="U52" i="361"/>
  <c r="T52" i="361"/>
  <c r="S52" i="361"/>
  <c r="Q52" i="361"/>
  <c r="K52" i="361"/>
  <c r="Y51" i="361"/>
  <c r="U51" i="361"/>
  <c r="T51" i="361"/>
  <c r="S51" i="361"/>
  <c r="V51" i="361" s="1"/>
  <c r="Q51" i="361"/>
  <c r="K51" i="361"/>
  <c r="AB50" i="361"/>
  <c r="U50" i="361"/>
  <c r="T50" i="361"/>
  <c r="S50" i="361"/>
  <c r="Q50" i="361"/>
  <c r="K50" i="361"/>
  <c r="Y49" i="361"/>
  <c r="Z49" i="361" s="1"/>
  <c r="U49" i="361"/>
  <c r="T49" i="361"/>
  <c r="S49" i="361"/>
  <c r="Q49" i="361"/>
  <c r="K49" i="361"/>
  <c r="Y48" i="361"/>
  <c r="Z48" i="361" s="1"/>
  <c r="U48" i="361"/>
  <c r="T48" i="361"/>
  <c r="S48" i="361"/>
  <c r="Q48" i="361"/>
  <c r="K48" i="361"/>
  <c r="U47" i="361"/>
  <c r="T47" i="361"/>
  <c r="S47" i="361"/>
  <c r="Q47" i="361"/>
  <c r="K47" i="361"/>
  <c r="U46" i="361"/>
  <c r="T46" i="361"/>
  <c r="Q46" i="361"/>
  <c r="S46" i="361" s="1"/>
  <c r="K46" i="361"/>
  <c r="AB45" i="361"/>
  <c r="AA45" i="361"/>
  <c r="U45" i="361"/>
  <c r="T45" i="361"/>
  <c r="S45" i="361"/>
  <c r="Q45" i="361"/>
  <c r="K45" i="361"/>
  <c r="AB44" i="361"/>
  <c r="AC44" i="361" s="1"/>
  <c r="AA44" i="361"/>
  <c r="U44" i="361"/>
  <c r="T44" i="361"/>
  <c r="S44" i="361"/>
  <c r="Q44" i="361"/>
  <c r="K44" i="361"/>
  <c r="AB43" i="361"/>
  <c r="AA43" i="361"/>
  <c r="AC43" i="361" s="1"/>
  <c r="U43" i="361"/>
  <c r="T43" i="361"/>
  <c r="S43" i="361"/>
  <c r="Q43" i="361"/>
  <c r="K43" i="361"/>
  <c r="U42" i="361"/>
  <c r="T42" i="361"/>
  <c r="Q42" i="361"/>
  <c r="S42" i="361" s="1"/>
  <c r="K42" i="361"/>
  <c r="U41" i="361"/>
  <c r="T41" i="361"/>
  <c r="Q41" i="361"/>
  <c r="S41" i="361" s="1"/>
  <c r="K41" i="361"/>
  <c r="U40" i="361"/>
  <c r="T40" i="361"/>
  <c r="S40" i="361"/>
  <c r="V40" i="361" s="1"/>
  <c r="K40" i="361"/>
  <c r="U39" i="361"/>
  <c r="T39" i="361"/>
  <c r="S39" i="361"/>
  <c r="Q39" i="361"/>
  <c r="K39" i="361"/>
  <c r="U38" i="361"/>
  <c r="T38" i="361"/>
  <c r="Q38" i="361"/>
  <c r="S38" i="361" s="1"/>
  <c r="K38" i="361"/>
  <c r="Z37" i="361"/>
  <c r="U37" i="361"/>
  <c r="T37" i="361"/>
  <c r="S37" i="361"/>
  <c r="Q37" i="361"/>
  <c r="K37" i="361"/>
  <c r="Z36" i="361"/>
  <c r="AA36" i="361" s="1"/>
  <c r="U36" i="361"/>
  <c r="T36" i="361"/>
  <c r="S36" i="361"/>
  <c r="Q36" i="361"/>
  <c r="K36" i="361"/>
  <c r="Z35" i="361"/>
  <c r="U35" i="361"/>
  <c r="T35" i="361"/>
  <c r="S35" i="361"/>
  <c r="Q35" i="361"/>
  <c r="K35" i="361"/>
  <c r="AC34" i="361"/>
  <c r="AC36" i="361" s="1"/>
  <c r="U34" i="361"/>
  <c r="T34" i="361"/>
  <c r="S34" i="361"/>
  <c r="Q34" i="361"/>
  <c r="K34" i="361"/>
  <c r="U33" i="361"/>
  <c r="T33" i="361"/>
  <c r="S33" i="361"/>
  <c r="Q33" i="361"/>
  <c r="K33" i="361"/>
  <c r="U32" i="361"/>
  <c r="T32" i="361"/>
  <c r="S32" i="361"/>
  <c r="Q32" i="361"/>
  <c r="K32" i="361"/>
  <c r="U31" i="361"/>
  <c r="T31" i="361"/>
  <c r="S31" i="361"/>
  <c r="Q31" i="361"/>
  <c r="K31" i="361"/>
  <c r="Z30" i="361"/>
  <c r="U30" i="361"/>
  <c r="T30" i="361"/>
  <c r="S30" i="361"/>
  <c r="Q30" i="361"/>
  <c r="K30" i="361"/>
  <c r="U29" i="361"/>
  <c r="T29" i="361"/>
  <c r="S29" i="361"/>
  <c r="Q29" i="361"/>
  <c r="K29" i="361"/>
  <c r="U28" i="361"/>
  <c r="T28" i="361"/>
  <c r="S28" i="361"/>
  <c r="Q28" i="361"/>
  <c r="K28" i="361"/>
  <c r="N27" i="361" s="1"/>
  <c r="U27" i="361"/>
  <c r="T27" i="361"/>
  <c r="S27" i="361"/>
  <c r="Q27" i="361"/>
  <c r="K27" i="361"/>
  <c r="T26" i="361"/>
  <c r="S26" i="361"/>
  <c r="Q26" i="361"/>
  <c r="U26" i="361" s="1"/>
  <c r="K26" i="361"/>
  <c r="U25" i="361"/>
  <c r="T25" i="361"/>
  <c r="Q25" i="361"/>
  <c r="S25" i="361" s="1"/>
  <c r="K25" i="361"/>
  <c r="U24" i="361"/>
  <c r="T24" i="361"/>
  <c r="S24" i="361"/>
  <c r="Q24" i="361"/>
  <c r="K24" i="361"/>
  <c r="U23" i="361"/>
  <c r="V23" i="361" s="1"/>
  <c r="T23" i="361"/>
  <c r="S23" i="361"/>
  <c r="Q23" i="361"/>
  <c r="K23" i="361"/>
  <c r="U22" i="361"/>
  <c r="T22" i="361"/>
  <c r="Q22" i="361"/>
  <c r="S22" i="361" s="1"/>
  <c r="K22" i="361"/>
  <c r="U21" i="361"/>
  <c r="T21" i="361"/>
  <c r="S21" i="361"/>
  <c r="Q21" i="361"/>
  <c r="K21" i="361"/>
  <c r="U20" i="361"/>
  <c r="T20" i="361"/>
  <c r="Q20" i="361"/>
  <c r="S20" i="361" s="1"/>
  <c r="K20" i="361"/>
  <c r="U19" i="361"/>
  <c r="T19" i="361"/>
  <c r="Q19" i="361"/>
  <c r="S19" i="361" s="1"/>
  <c r="K19" i="361"/>
  <c r="U18" i="361"/>
  <c r="T18" i="361"/>
  <c r="AB94" i="361" s="1"/>
  <c r="S18" i="361"/>
  <c r="Q18" i="361"/>
  <c r="K18" i="361"/>
  <c r="U17" i="361"/>
  <c r="S17" i="361"/>
  <c r="Q17" i="361"/>
  <c r="T17" i="361" s="1"/>
  <c r="K17" i="361"/>
  <c r="Z16" i="361"/>
  <c r="AA16" i="361" s="1"/>
  <c r="U16" i="361"/>
  <c r="T16" i="361"/>
  <c r="S16" i="361"/>
  <c r="K16" i="361"/>
  <c r="AA15" i="361"/>
  <c r="Z15" i="361"/>
  <c r="U15" i="361"/>
  <c r="T15" i="361"/>
  <c r="Q15" i="361"/>
  <c r="S15" i="361" s="1"/>
  <c r="K15" i="361"/>
  <c r="U14" i="361"/>
  <c r="T14" i="361"/>
  <c r="S14" i="361"/>
  <c r="Q14" i="361"/>
  <c r="K14" i="361"/>
  <c r="U13" i="361"/>
  <c r="T13" i="361"/>
  <c r="Q13" i="361"/>
  <c r="S13" i="361" s="1"/>
  <c r="K13" i="361"/>
  <c r="AC12" i="361"/>
  <c r="AB12" i="361"/>
  <c r="AA12" i="361"/>
  <c r="U12" i="361"/>
  <c r="T12" i="361"/>
  <c r="Q12" i="361"/>
  <c r="S12" i="361" s="1"/>
  <c r="K12" i="361"/>
  <c r="AA11" i="361"/>
  <c r="U11" i="361"/>
  <c r="T11" i="361"/>
  <c r="Q11" i="361"/>
  <c r="S11" i="361" s="1"/>
  <c r="K11" i="361"/>
  <c r="AB10" i="361"/>
  <c r="Z10" i="361"/>
  <c r="U10" i="361"/>
  <c r="Q10" i="361"/>
  <c r="T10" i="361" s="1"/>
  <c r="K10" i="361"/>
  <c r="AA9" i="361"/>
  <c r="Q9" i="361"/>
  <c r="S9" i="361" s="1"/>
  <c r="K9" i="361"/>
  <c r="U8" i="361"/>
  <c r="T8" i="361"/>
  <c r="Q8" i="361"/>
  <c r="S8" i="361" s="1"/>
  <c r="K8" i="361"/>
  <c r="Z7" i="361"/>
  <c r="U7" i="361"/>
  <c r="Q7" i="361"/>
  <c r="Z6" i="361"/>
  <c r="U6" i="361"/>
  <c r="T6" i="361"/>
  <c r="Q6" i="361"/>
  <c r="S6" i="361" s="1"/>
  <c r="K6" i="361"/>
  <c r="U5" i="361"/>
  <c r="S5" i="361"/>
  <c r="Q5" i="361"/>
  <c r="T5" i="361" s="1"/>
  <c r="K5" i="361"/>
  <c r="U4" i="361"/>
  <c r="S4" i="361"/>
  <c r="Q4" i="361"/>
  <c r="T4" i="361" s="1"/>
  <c r="K4" i="361"/>
  <c r="AE3" i="361"/>
  <c r="U3" i="361"/>
  <c r="S3" i="361"/>
  <c r="Q3" i="361"/>
  <c r="T3" i="361" s="1"/>
  <c r="K3" i="361"/>
  <c r="U2" i="361"/>
  <c r="T2" i="361"/>
  <c r="Q2" i="361"/>
  <c r="K2" i="361"/>
  <c r="Z8" i="360"/>
  <c r="Z72" i="360" s="1"/>
  <c r="U123" i="360"/>
  <c r="I113" i="360"/>
  <c r="P105" i="360"/>
  <c r="M105" i="360"/>
  <c r="J105" i="360"/>
  <c r="U103" i="360"/>
  <c r="V103" i="360" s="1"/>
  <c r="T103" i="360"/>
  <c r="S103" i="360"/>
  <c r="Q103" i="360"/>
  <c r="K103" i="360"/>
  <c r="AA102" i="360"/>
  <c r="U102" i="360"/>
  <c r="T102" i="360"/>
  <c r="V102" i="360" s="1"/>
  <c r="S102" i="360"/>
  <c r="Q102" i="360"/>
  <c r="K102" i="360"/>
  <c r="U101" i="360"/>
  <c r="V101" i="360" s="1"/>
  <c r="T101" i="360"/>
  <c r="S101" i="360"/>
  <c r="Q101" i="360"/>
  <c r="K101" i="360"/>
  <c r="AA100" i="360"/>
  <c r="U100" i="360"/>
  <c r="T100" i="360"/>
  <c r="V100" i="360" s="1"/>
  <c r="S100" i="360"/>
  <c r="Q100" i="360"/>
  <c r="K100" i="360"/>
  <c r="AA99" i="360"/>
  <c r="U99" i="360"/>
  <c r="T99" i="360"/>
  <c r="S99" i="360"/>
  <c r="V99" i="360" s="1"/>
  <c r="Q99" i="360"/>
  <c r="K99" i="360"/>
  <c r="AA98" i="360"/>
  <c r="V98" i="360"/>
  <c r="U98" i="360"/>
  <c r="T98" i="360"/>
  <c r="S98" i="360"/>
  <c r="Q98" i="360"/>
  <c r="K98" i="360"/>
  <c r="U97" i="360"/>
  <c r="V97" i="360" s="1"/>
  <c r="T97" i="360"/>
  <c r="S97" i="360"/>
  <c r="Q97" i="360"/>
  <c r="K97" i="360"/>
  <c r="V96" i="360"/>
  <c r="U96" i="360"/>
  <c r="T96" i="360"/>
  <c r="S96" i="360"/>
  <c r="Q96" i="360"/>
  <c r="K96" i="360"/>
  <c r="N94" i="360" s="1"/>
  <c r="AA95" i="360"/>
  <c r="U95" i="360"/>
  <c r="V95" i="360" s="1"/>
  <c r="T95" i="360"/>
  <c r="S95" i="360"/>
  <c r="Q95" i="360"/>
  <c r="K95" i="360"/>
  <c r="AA94" i="360"/>
  <c r="U94" i="360"/>
  <c r="T94" i="360"/>
  <c r="S94" i="360"/>
  <c r="Q94" i="360"/>
  <c r="K94" i="360"/>
  <c r="AA93" i="360"/>
  <c r="U93" i="360"/>
  <c r="T93" i="360"/>
  <c r="S93" i="360"/>
  <c r="Q93" i="360"/>
  <c r="K93" i="360"/>
  <c r="U92" i="360"/>
  <c r="T92" i="360"/>
  <c r="S92" i="360"/>
  <c r="V92" i="360" s="1"/>
  <c r="Q92" i="360"/>
  <c r="K92" i="360"/>
  <c r="U91" i="360"/>
  <c r="T91" i="360"/>
  <c r="S91" i="360"/>
  <c r="Q91" i="360"/>
  <c r="K91" i="360"/>
  <c r="U90" i="360"/>
  <c r="V90" i="360" s="1"/>
  <c r="T90" i="360"/>
  <c r="S90" i="360"/>
  <c r="Q90" i="360"/>
  <c r="K90" i="360"/>
  <c r="V89" i="360"/>
  <c r="U89" i="360"/>
  <c r="T89" i="360"/>
  <c r="S89" i="360"/>
  <c r="Q89" i="360"/>
  <c r="K89" i="360"/>
  <c r="V88" i="360"/>
  <c r="U88" i="360"/>
  <c r="T88" i="360"/>
  <c r="S88" i="360"/>
  <c r="Q88" i="360"/>
  <c r="K88" i="360"/>
  <c r="AE87" i="360"/>
  <c r="AA87" i="360"/>
  <c r="Y87" i="360"/>
  <c r="U87" i="360"/>
  <c r="T87" i="360"/>
  <c r="S87" i="360"/>
  <c r="V87" i="360" s="1"/>
  <c r="Q87" i="360"/>
  <c r="K87" i="360"/>
  <c r="AF86" i="360"/>
  <c r="AG86" i="360" s="1"/>
  <c r="AH86" i="360" s="1"/>
  <c r="AH87" i="360" s="1"/>
  <c r="AH88" i="360" s="1"/>
  <c r="U86" i="360"/>
  <c r="T86" i="360"/>
  <c r="S86" i="360"/>
  <c r="V86" i="360" s="1"/>
  <c r="Q86" i="360"/>
  <c r="K86" i="360"/>
  <c r="U85" i="360"/>
  <c r="T85" i="360"/>
  <c r="S85" i="360"/>
  <c r="V85" i="360" s="1"/>
  <c r="Q85" i="360"/>
  <c r="K85" i="360"/>
  <c r="U84" i="360"/>
  <c r="T84" i="360"/>
  <c r="S84" i="360"/>
  <c r="Q84" i="360"/>
  <c r="K84" i="360"/>
  <c r="U83" i="360"/>
  <c r="T83" i="360"/>
  <c r="S83" i="360"/>
  <c r="Q83" i="360"/>
  <c r="K83" i="360"/>
  <c r="V82" i="360"/>
  <c r="U82" i="360"/>
  <c r="T82" i="360"/>
  <c r="S82" i="360"/>
  <c r="Q82" i="360"/>
  <c r="K82" i="360"/>
  <c r="AA81" i="360"/>
  <c r="AA86" i="360" s="1"/>
  <c r="AB86" i="360" s="1"/>
  <c r="AC86" i="360" s="1"/>
  <c r="AD86" i="360" s="1"/>
  <c r="AD87" i="360" s="1"/>
  <c r="AD88" i="360" s="1"/>
  <c r="Z81" i="360"/>
  <c r="V81" i="360"/>
  <c r="U81" i="360"/>
  <c r="T81" i="360"/>
  <c r="S81" i="360"/>
  <c r="Q81" i="360"/>
  <c r="K81" i="360"/>
  <c r="AI80" i="360"/>
  <c r="U80" i="360"/>
  <c r="V80" i="360" s="1"/>
  <c r="T80" i="360"/>
  <c r="S80" i="360"/>
  <c r="Q80" i="360"/>
  <c r="K80" i="360"/>
  <c r="AI79" i="360"/>
  <c r="V79" i="360"/>
  <c r="U79" i="360"/>
  <c r="T79" i="360"/>
  <c r="S79" i="360"/>
  <c r="Q79" i="360"/>
  <c r="K79" i="360"/>
  <c r="AI78" i="360"/>
  <c r="U78" i="360"/>
  <c r="T78" i="360"/>
  <c r="S78" i="360"/>
  <c r="Q78" i="360"/>
  <c r="K78" i="360"/>
  <c r="V77" i="360"/>
  <c r="U77" i="360"/>
  <c r="T77" i="360"/>
  <c r="S77" i="360"/>
  <c r="Q77" i="360"/>
  <c r="K77" i="360"/>
  <c r="U76" i="360"/>
  <c r="V76" i="360" s="1"/>
  <c r="T76" i="360"/>
  <c r="S76" i="360"/>
  <c r="Q76" i="360"/>
  <c r="K76" i="360"/>
  <c r="U75" i="360"/>
  <c r="T75" i="360"/>
  <c r="S75" i="360"/>
  <c r="Q75" i="360"/>
  <c r="K75" i="360"/>
  <c r="U74" i="360"/>
  <c r="V74" i="360" s="1"/>
  <c r="T74" i="360"/>
  <c r="S74" i="360"/>
  <c r="Q74" i="360"/>
  <c r="K74" i="360"/>
  <c r="AD73" i="360"/>
  <c r="Z73" i="360"/>
  <c r="U73" i="360"/>
  <c r="T73" i="360"/>
  <c r="S73" i="360"/>
  <c r="Q73" i="360"/>
  <c r="K73" i="360"/>
  <c r="V72" i="360"/>
  <c r="U72" i="360"/>
  <c r="T72" i="360"/>
  <c r="S72" i="360"/>
  <c r="Q72" i="360"/>
  <c r="K72" i="360"/>
  <c r="U71" i="360"/>
  <c r="T71" i="360"/>
  <c r="S71" i="360"/>
  <c r="V71" i="360" s="1"/>
  <c r="Q71" i="360"/>
  <c r="K71" i="360"/>
  <c r="U70" i="360"/>
  <c r="T70" i="360"/>
  <c r="S70" i="360"/>
  <c r="Q70" i="360"/>
  <c r="K70" i="360"/>
  <c r="V69" i="360"/>
  <c r="U69" i="360"/>
  <c r="T69" i="360"/>
  <c r="S69" i="360"/>
  <c r="Q69" i="360"/>
  <c r="K69" i="360"/>
  <c r="U68" i="360"/>
  <c r="T68" i="360"/>
  <c r="S68" i="360"/>
  <c r="Q68" i="360"/>
  <c r="K68" i="360"/>
  <c r="AA67" i="360"/>
  <c r="U67" i="360"/>
  <c r="T67" i="360"/>
  <c r="S67" i="360"/>
  <c r="V67" i="360" s="1"/>
  <c r="Q67" i="360"/>
  <c r="K67" i="360"/>
  <c r="U66" i="360"/>
  <c r="T66" i="360"/>
  <c r="S66" i="360"/>
  <c r="Q66" i="360"/>
  <c r="K66" i="360"/>
  <c r="U65" i="360"/>
  <c r="T65" i="360"/>
  <c r="S65" i="360"/>
  <c r="V65" i="360" s="1"/>
  <c r="Q65" i="360"/>
  <c r="K65" i="360"/>
  <c r="U64" i="360"/>
  <c r="V64" i="360" s="1"/>
  <c r="T64" i="360"/>
  <c r="S64" i="360"/>
  <c r="Q64" i="360"/>
  <c r="K64" i="360"/>
  <c r="V63" i="360"/>
  <c r="U63" i="360"/>
  <c r="T63" i="360"/>
  <c r="S63" i="360"/>
  <c r="Q63" i="360"/>
  <c r="K63" i="360"/>
  <c r="AC62" i="360"/>
  <c r="U62" i="360"/>
  <c r="T62" i="360"/>
  <c r="S62" i="360"/>
  <c r="V62" i="360" s="1"/>
  <c r="Q62" i="360"/>
  <c r="K62" i="360"/>
  <c r="U61" i="360"/>
  <c r="T61" i="360"/>
  <c r="S61" i="360"/>
  <c r="V61" i="360" s="1"/>
  <c r="Q61" i="360"/>
  <c r="K61" i="360"/>
  <c r="AA60" i="360"/>
  <c r="U60" i="360"/>
  <c r="V60" i="360" s="1"/>
  <c r="T60" i="360"/>
  <c r="S60" i="360"/>
  <c r="Q60" i="360"/>
  <c r="K60" i="360"/>
  <c r="AB59" i="360"/>
  <c r="AA59" i="360"/>
  <c r="V59" i="360"/>
  <c r="U59" i="360"/>
  <c r="T59" i="360"/>
  <c r="S59" i="360"/>
  <c r="Q59" i="360"/>
  <c r="K59" i="360"/>
  <c r="AM58" i="360"/>
  <c r="AG58" i="360"/>
  <c r="AC58" i="360"/>
  <c r="AB58" i="360"/>
  <c r="AA58" i="360"/>
  <c r="AC78" i="360" s="1"/>
  <c r="U58" i="360"/>
  <c r="T58" i="360"/>
  <c r="S58" i="360"/>
  <c r="V58" i="360" s="1"/>
  <c r="Q58" i="360"/>
  <c r="K58" i="360"/>
  <c r="U57" i="360"/>
  <c r="T57" i="360"/>
  <c r="S57" i="360"/>
  <c r="V57" i="360" s="1"/>
  <c r="Q57" i="360"/>
  <c r="K57" i="360"/>
  <c r="U56" i="360"/>
  <c r="T56" i="360"/>
  <c r="S56" i="360"/>
  <c r="V56" i="360" s="1"/>
  <c r="Q56" i="360"/>
  <c r="K56" i="360"/>
  <c r="U55" i="360"/>
  <c r="V55" i="360" s="1"/>
  <c r="T55" i="360"/>
  <c r="S55" i="360"/>
  <c r="Q55" i="360"/>
  <c r="K55" i="360"/>
  <c r="V54" i="360"/>
  <c r="U54" i="360"/>
  <c r="T54" i="360"/>
  <c r="S54" i="360"/>
  <c r="Q54" i="360"/>
  <c r="K54" i="360"/>
  <c r="AK53" i="360"/>
  <c r="Y53" i="360"/>
  <c r="U53" i="360"/>
  <c r="T53" i="360"/>
  <c r="Q53" i="360"/>
  <c r="S53" i="360" s="1"/>
  <c r="K53" i="360"/>
  <c r="U52" i="360"/>
  <c r="T52" i="360"/>
  <c r="S52" i="360"/>
  <c r="V52" i="360" s="1"/>
  <c r="Q52" i="360"/>
  <c r="K52" i="360"/>
  <c r="Y51" i="360"/>
  <c r="U51" i="360"/>
  <c r="T51" i="360"/>
  <c r="S51" i="360"/>
  <c r="V51" i="360" s="1"/>
  <c r="Q51" i="360"/>
  <c r="K51" i="360"/>
  <c r="AB50" i="360"/>
  <c r="U50" i="360"/>
  <c r="T50" i="360"/>
  <c r="V50" i="360" s="1"/>
  <c r="S50" i="360"/>
  <c r="Q50" i="360"/>
  <c r="K50" i="360"/>
  <c r="Z49" i="360"/>
  <c r="Y49" i="360"/>
  <c r="U49" i="360"/>
  <c r="T49" i="360"/>
  <c r="S49" i="360"/>
  <c r="V49" i="360" s="1"/>
  <c r="Q49" i="360"/>
  <c r="K49" i="360"/>
  <c r="Z48" i="360"/>
  <c r="Y48" i="360"/>
  <c r="U48" i="360"/>
  <c r="V48" i="360" s="1"/>
  <c r="T48" i="360"/>
  <c r="S48" i="360"/>
  <c r="Q48" i="360"/>
  <c r="K48" i="360"/>
  <c r="U47" i="360"/>
  <c r="T47" i="360"/>
  <c r="S47" i="360"/>
  <c r="V47" i="360" s="1"/>
  <c r="Q47" i="360"/>
  <c r="K47" i="360"/>
  <c r="V46" i="360"/>
  <c r="U46" i="360"/>
  <c r="T46" i="360"/>
  <c r="Q46" i="360"/>
  <c r="S46" i="360" s="1"/>
  <c r="K46" i="360"/>
  <c r="AB45" i="360"/>
  <c r="AC45" i="360" s="1"/>
  <c r="AA45" i="360"/>
  <c r="U45" i="360"/>
  <c r="V45" i="360" s="1"/>
  <c r="T45" i="360"/>
  <c r="S45" i="360"/>
  <c r="Q45" i="360"/>
  <c r="K45" i="360"/>
  <c r="AB44" i="360"/>
  <c r="AC44" i="360" s="1"/>
  <c r="AA44" i="360"/>
  <c r="V44" i="360"/>
  <c r="U44" i="360"/>
  <c r="T44" i="360"/>
  <c r="S44" i="360"/>
  <c r="Q44" i="360"/>
  <c r="K44" i="360"/>
  <c r="AB43" i="360"/>
  <c r="AA43" i="360"/>
  <c r="AC43" i="360" s="1"/>
  <c r="U43" i="360"/>
  <c r="T43" i="360"/>
  <c r="S43" i="360"/>
  <c r="Q43" i="360"/>
  <c r="K43" i="360"/>
  <c r="AA42" i="360"/>
  <c r="U42" i="360"/>
  <c r="T42" i="360"/>
  <c r="Q42" i="360"/>
  <c r="S42" i="360" s="1"/>
  <c r="V42" i="360" s="1"/>
  <c r="K42" i="360"/>
  <c r="U41" i="360"/>
  <c r="T41" i="360"/>
  <c r="Q41" i="360"/>
  <c r="S41" i="360" s="1"/>
  <c r="K41" i="360"/>
  <c r="U40" i="360"/>
  <c r="T40" i="360"/>
  <c r="S40" i="360"/>
  <c r="V40" i="360" s="1"/>
  <c r="K40" i="360"/>
  <c r="U39" i="360"/>
  <c r="T39" i="360"/>
  <c r="S39" i="360"/>
  <c r="Q39" i="360"/>
  <c r="K39" i="360"/>
  <c r="U38" i="360"/>
  <c r="T38" i="360"/>
  <c r="Q38" i="360"/>
  <c r="S38" i="360" s="1"/>
  <c r="V38" i="360" s="1"/>
  <c r="K38" i="360"/>
  <c r="U37" i="360"/>
  <c r="T37" i="360"/>
  <c r="S37" i="360"/>
  <c r="V37" i="360" s="1"/>
  <c r="Q37" i="360"/>
  <c r="K37" i="360"/>
  <c r="Z36" i="360"/>
  <c r="U36" i="360"/>
  <c r="V36" i="360" s="1"/>
  <c r="T36" i="360"/>
  <c r="S36" i="360"/>
  <c r="Q36" i="360"/>
  <c r="K36" i="360"/>
  <c r="Z35" i="360"/>
  <c r="U35" i="360"/>
  <c r="V35" i="360" s="1"/>
  <c r="T35" i="360"/>
  <c r="S35" i="360"/>
  <c r="Q35" i="360"/>
  <c r="K35" i="360"/>
  <c r="AD34" i="360"/>
  <c r="AD35" i="360" s="1"/>
  <c r="AC34" i="360"/>
  <c r="AC36" i="360" s="1"/>
  <c r="V34" i="360"/>
  <c r="U34" i="360"/>
  <c r="T34" i="360"/>
  <c r="S34" i="360"/>
  <c r="Q34" i="360"/>
  <c r="K34" i="360"/>
  <c r="U33" i="360"/>
  <c r="T33" i="360"/>
  <c r="S33" i="360"/>
  <c r="Q33" i="360"/>
  <c r="K33" i="360"/>
  <c r="U32" i="360"/>
  <c r="T32" i="360"/>
  <c r="V32" i="360" s="1"/>
  <c r="S32" i="360"/>
  <c r="Q32" i="360"/>
  <c r="K32" i="360"/>
  <c r="V31" i="360"/>
  <c r="U31" i="360"/>
  <c r="T31" i="360"/>
  <c r="S31" i="360"/>
  <c r="Q31" i="360"/>
  <c r="K31" i="360"/>
  <c r="Z30" i="360"/>
  <c r="U30" i="360"/>
  <c r="T30" i="360"/>
  <c r="V30" i="360" s="1"/>
  <c r="S30" i="360"/>
  <c r="Q30" i="360"/>
  <c r="K30" i="360"/>
  <c r="V29" i="360"/>
  <c r="U29" i="360"/>
  <c r="T29" i="360"/>
  <c r="S29" i="360"/>
  <c r="Q29" i="360"/>
  <c r="K29" i="360"/>
  <c r="U28" i="360"/>
  <c r="T28" i="360"/>
  <c r="V28" i="360" s="1"/>
  <c r="S28" i="360"/>
  <c r="Q28" i="360"/>
  <c r="K28" i="360"/>
  <c r="V27" i="360"/>
  <c r="U27" i="360"/>
  <c r="T27" i="360"/>
  <c r="S27" i="360"/>
  <c r="Q27" i="360"/>
  <c r="K27" i="360"/>
  <c r="T26" i="360"/>
  <c r="S26" i="360"/>
  <c r="R26" i="360"/>
  <c r="Q26" i="360"/>
  <c r="U26" i="360" s="1"/>
  <c r="K26" i="360"/>
  <c r="U25" i="360"/>
  <c r="T25" i="360"/>
  <c r="Q25" i="360"/>
  <c r="S25" i="360" s="1"/>
  <c r="V25" i="360" s="1"/>
  <c r="K25" i="360"/>
  <c r="U24" i="360"/>
  <c r="T24" i="360"/>
  <c r="S24" i="360"/>
  <c r="V24" i="360" s="1"/>
  <c r="Q24" i="360"/>
  <c r="K24" i="360"/>
  <c r="U23" i="360"/>
  <c r="T23" i="360"/>
  <c r="V23" i="360" s="1"/>
  <c r="S23" i="360"/>
  <c r="Q23" i="360"/>
  <c r="K23" i="360"/>
  <c r="U22" i="360"/>
  <c r="T22" i="360"/>
  <c r="Q22" i="360"/>
  <c r="S22" i="360" s="1"/>
  <c r="V22" i="360" s="1"/>
  <c r="K22" i="360"/>
  <c r="V21" i="360"/>
  <c r="U21" i="360"/>
  <c r="T21" i="360"/>
  <c r="S21" i="360"/>
  <c r="Q21" i="360"/>
  <c r="K21" i="360"/>
  <c r="V20" i="360"/>
  <c r="U20" i="360"/>
  <c r="T20" i="360"/>
  <c r="Q20" i="360"/>
  <c r="S20" i="360" s="1"/>
  <c r="K20" i="360"/>
  <c r="U19" i="360"/>
  <c r="T19" i="360"/>
  <c r="Q19" i="360"/>
  <c r="S19" i="360" s="1"/>
  <c r="V19" i="360" s="1"/>
  <c r="K19" i="360"/>
  <c r="V18" i="360"/>
  <c r="U18" i="360"/>
  <c r="S18" i="360"/>
  <c r="AB99" i="360" s="1"/>
  <c r="Q18" i="360"/>
  <c r="T18" i="360" s="1"/>
  <c r="AB94" i="360" s="1"/>
  <c r="K18" i="360"/>
  <c r="U17" i="360"/>
  <c r="T17" i="360"/>
  <c r="V17" i="360" s="1"/>
  <c r="S17" i="360"/>
  <c r="Q17" i="360"/>
  <c r="K17" i="360"/>
  <c r="Z16" i="360"/>
  <c r="AA16" i="360" s="1"/>
  <c r="U16" i="360"/>
  <c r="T16" i="360"/>
  <c r="S16" i="360"/>
  <c r="K16" i="360"/>
  <c r="Z15" i="360"/>
  <c r="AA15" i="360" s="1"/>
  <c r="U15" i="360"/>
  <c r="T15" i="360"/>
  <c r="S15" i="360"/>
  <c r="V15" i="360" s="1"/>
  <c r="Q15" i="360"/>
  <c r="K15" i="360"/>
  <c r="V14" i="360"/>
  <c r="U14" i="360"/>
  <c r="T14" i="360"/>
  <c r="S14" i="360"/>
  <c r="Q14" i="360"/>
  <c r="K14" i="360"/>
  <c r="U13" i="360"/>
  <c r="T13" i="360"/>
  <c r="Q13" i="360"/>
  <c r="S13" i="360" s="1"/>
  <c r="K13" i="360"/>
  <c r="AC12" i="360"/>
  <c r="AB12" i="360"/>
  <c r="AA12" i="360"/>
  <c r="V12" i="360"/>
  <c r="U12" i="360"/>
  <c r="T12" i="360"/>
  <c r="Q12" i="360"/>
  <c r="S12" i="360" s="1"/>
  <c r="K12" i="360"/>
  <c r="AA11" i="360"/>
  <c r="U11" i="360"/>
  <c r="T11" i="360"/>
  <c r="Q11" i="360"/>
  <c r="S11" i="360" s="1"/>
  <c r="V11" i="360" s="1"/>
  <c r="K11" i="360"/>
  <c r="AB10" i="360"/>
  <c r="AC61" i="360" s="1"/>
  <c r="U10" i="360"/>
  <c r="Q10" i="360"/>
  <c r="K10" i="360"/>
  <c r="AA9" i="360"/>
  <c r="U9" i="360"/>
  <c r="Q9" i="360"/>
  <c r="S9" i="360" s="1"/>
  <c r="K9" i="360"/>
  <c r="U8" i="360"/>
  <c r="T8" i="360"/>
  <c r="Q8" i="360"/>
  <c r="S8" i="360" s="1"/>
  <c r="K8" i="360"/>
  <c r="Z7" i="360"/>
  <c r="U7" i="360"/>
  <c r="T7" i="360"/>
  <c r="S7" i="360"/>
  <c r="V7" i="360" s="1"/>
  <c r="Q7" i="360"/>
  <c r="K7" i="360"/>
  <c r="I7" i="360"/>
  <c r="I105" i="360" s="1"/>
  <c r="H7" i="360"/>
  <c r="Z6" i="360"/>
  <c r="U6" i="360"/>
  <c r="T6" i="360"/>
  <c r="Q6" i="360"/>
  <c r="S6" i="360" s="1"/>
  <c r="V6" i="360" s="1"/>
  <c r="K6" i="360"/>
  <c r="U5" i="360"/>
  <c r="T5" i="360"/>
  <c r="S5" i="360"/>
  <c r="V5" i="360" s="1"/>
  <c r="Q5" i="360"/>
  <c r="K5" i="360"/>
  <c r="U4" i="360"/>
  <c r="S4" i="360"/>
  <c r="V4" i="360" s="1"/>
  <c r="Q4" i="360"/>
  <c r="T4" i="360" s="1"/>
  <c r="K4" i="360"/>
  <c r="N2" i="360" s="1"/>
  <c r="AE3" i="360"/>
  <c r="U3" i="360"/>
  <c r="S3" i="360"/>
  <c r="Q3" i="360"/>
  <c r="T3" i="360" s="1"/>
  <c r="V3" i="360" s="1"/>
  <c r="K3" i="360"/>
  <c r="U2" i="360"/>
  <c r="T2" i="360"/>
  <c r="S2" i="360"/>
  <c r="Q2" i="360"/>
  <c r="K2" i="360"/>
  <c r="U123" i="359"/>
  <c r="I113" i="359"/>
  <c r="P105" i="359"/>
  <c r="M105" i="359"/>
  <c r="J105" i="359"/>
  <c r="U103" i="359"/>
  <c r="V103" i="359" s="1"/>
  <c r="T103" i="359"/>
  <c r="S103" i="359"/>
  <c r="Q103" i="359"/>
  <c r="K103" i="359"/>
  <c r="AA102" i="359"/>
  <c r="U102" i="359"/>
  <c r="T102" i="359"/>
  <c r="V102" i="359" s="1"/>
  <c r="S102" i="359"/>
  <c r="Q102" i="359"/>
  <c r="K102" i="359"/>
  <c r="V101" i="359"/>
  <c r="U101" i="359"/>
  <c r="T101" i="359"/>
  <c r="S101" i="359"/>
  <c r="Q101" i="359"/>
  <c r="K101" i="359"/>
  <c r="AA100" i="359"/>
  <c r="U100" i="359"/>
  <c r="T100" i="359"/>
  <c r="V100" i="359" s="1"/>
  <c r="S100" i="359"/>
  <c r="Q100" i="359"/>
  <c r="K100" i="359"/>
  <c r="AA99" i="359"/>
  <c r="U99" i="359"/>
  <c r="T99" i="359"/>
  <c r="S99" i="359"/>
  <c r="Q99" i="359"/>
  <c r="K99" i="359"/>
  <c r="AA98" i="359"/>
  <c r="U98" i="359"/>
  <c r="T98" i="359"/>
  <c r="S98" i="359"/>
  <c r="Q98" i="359"/>
  <c r="K98" i="359"/>
  <c r="U97" i="359"/>
  <c r="T97" i="359"/>
  <c r="S97" i="359"/>
  <c r="V97" i="359" s="1"/>
  <c r="Q97" i="359"/>
  <c r="K97" i="359"/>
  <c r="U96" i="359"/>
  <c r="T96" i="359"/>
  <c r="S96" i="359"/>
  <c r="Q96" i="359"/>
  <c r="K96" i="359"/>
  <c r="AA95" i="359"/>
  <c r="V95" i="359"/>
  <c r="U95" i="359"/>
  <c r="T95" i="359"/>
  <c r="S95" i="359"/>
  <c r="Q95" i="359"/>
  <c r="K95" i="359"/>
  <c r="AA94" i="359"/>
  <c r="U94" i="359"/>
  <c r="V94" i="359" s="1"/>
  <c r="T94" i="359"/>
  <c r="S94" i="359"/>
  <c r="Q94" i="359"/>
  <c r="K94" i="359"/>
  <c r="AA93" i="359"/>
  <c r="V93" i="359"/>
  <c r="U93" i="359"/>
  <c r="T93" i="359"/>
  <c r="S93" i="359"/>
  <c r="Q93" i="359"/>
  <c r="K93" i="359"/>
  <c r="U92" i="359"/>
  <c r="T92" i="359"/>
  <c r="S92" i="359"/>
  <c r="V92" i="359" s="1"/>
  <c r="Q92" i="359"/>
  <c r="K92" i="359"/>
  <c r="V91" i="359"/>
  <c r="U91" i="359"/>
  <c r="T91" i="359"/>
  <c r="S91" i="359"/>
  <c r="Q91" i="359"/>
  <c r="K91" i="359"/>
  <c r="U90" i="359"/>
  <c r="T90" i="359"/>
  <c r="S90" i="359"/>
  <c r="V90" i="359" s="1"/>
  <c r="Q90" i="359"/>
  <c r="K90" i="359"/>
  <c r="U89" i="359"/>
  <c r="T89" i="359"/>
  <c r="S89" i="359"/>
  <c r="Q89" i="359"/>
  <c r="K89" i="359"/>
  <c r="V88" i="359"/>
  <c r="U88" i="359"/>
  <c r="T88" i="359"/>
  <c r="S88" i="359"/>
  <c r="Q88" i="359"/>
  <c r="K88" i="359"/>
  <c r="AE87" i="359"/>
  <c r="AA87" i="359"/>
  <c r="Y87" i="359"/>
  <c r="U87" i="359"/>
  <c r="T87" i="359"/>
  <c r="S87" i="359"/>
  <c r="Q87" i="359"/>
  <c r="K87" i="359"/>
  <c r="AF86" i="359"/>
  <c r="AG86" i="359" s="1"/>
  <c r="AH86" i="359" s="1"/>
  <c r="AH87" i="359" s="1"/>
  <c r="AH88" i="359" s="1"/>
  <c r="AA86" i="359"/>
  <c r="U86" i="359"/>
  <c r="T86" i="359"/>
  <c r="S86" i="359"/>
  <c r="Q86" i="359"/>
  <c r="K86" i="359"/>
  <c r="V85" i="359"/>
  <c r="U85" i="359"/>
  <c r="T85" i="359"/>
  <c r="S85" i="359"/>
  <c r="Q85" i="359"/>
  <c r="K85" i="359"/>
  <c r="U84" i="359"/>
  <c r="T84" i="359"/>
  <c r="S84" i="359"/>
  <c r="Q84" i="359"/>
  <c r="K84" i="359"/>
  <c r="U83" i="359"/>
  <c r="V83" i="359" s="1"/>
  <c r="T83" i="359"/>
  <c r="S83" i="359"/>
  <c r="Q83" i="359"/>
  <c r="K83" i="359"/>
  <c r="U82" i="359"/>
  <c r="T82" i="359"/>
  <c r="S82" i="359"/>
  <c r="V82" i="359" s="1"/>
  <c r="Q82" i="359"/>
  <c r="K82" i="359"/>
  <c r="AA81" i="359"/>
  <c r="Z81" i="359"/>
  <c r="U81" i="359"/>
  <c r="T81" i="359"/>
  <c r="S81" i="359"/>
  <c r="V81" i="359" s="1"/>
  <c r="Q81" i="359"/>
  <c r="K81" i="359"/>
  <c r="AI80" i="359"/>
  <c r="U80" i="359"/>
  <c r="T80" i="359"/>
  <c r="S80" i="359"/>
  <c r="V80" i="359" s="1"/>
  <c r="Q80" i="359"/>
  <c r="K80" i="359"/>
  <c r="AI79" i="359"/>
  <c r="U79" i="359"/>
  <c r="T79" i="359"/>
  <c r="S79" i="359"/>
  <c r="V79" i="359" s="1"/>
  <c r="Q79" i="359"/>
  <c r="K79" i="359"/>
  <c r="AI78" i="359"/>
  <c r="AC78" i="359"/>
  <c r="U78" i="359"/>
  <c r="T78" i="359"/>
  <c r="S78" i="359"/>
  <c r="Q78" i="359"/>
  <c r="K78" i="359"/>
  <c r="V77" i="359"/>
  <c r="U77" i="359"/>
  <c r="T77" i="359"/>
  <c r="S77" i="359"/>
  <c r="Q77" i="359"/>
  <c r="K77" i="359"/>
  <c r="U76" i="359"/>
  <c r="T76" i="359"/>
  <c r="S76" i="359"/>
  <c r="V76" i="359" s="1"/>
  <c r="Q76" i="359"/>
  <c r="K76" i="359"/>
  <c r="U75" i="359"/>
  <c r="T75" i="359"/>
  <c r="V75" i="359" s="1"/>
  <c r="S75" i="359"/>
  <c r="Q75" i="359"/>
  <c r="K75" i="359"/>
  <c r="V74" i="359"/>
  <c r="U74" i="359"/>
  <c r="T74" i="359"/>
  <c r="S74" i="359"/>
  <c r="Q74" i="359"/>
  <c r="K74" i="359"/>
  <c r="AD73" i="359"/>
  <c r="Z73" i="359"/>
  <c r="U73" i="359"/>
  <c r="V73" i="359" s="1"/>
  <c r="T73" i="359"/>
  <c r="S73" i="359"/>
  <c r="Q73" i="359"/>
  <c r="K73" i="359"/>
  <c r="U72" i="359"/>
  <c r="T72" i="359"/>
  <c r="S72" i="359"/>
  <c r="V72" i="359" s="1"/>
  <c r="Q72" i="359"/>
  <c r="K72" i="359"/>
  <c r="U71" i="359"/>
  <c r="T71" i="359"/>
  <c r="S71" i="359"/>
  <c r="V71" i="359" s="1"/>
  <c r="Q71" i="359"/>
  <c r="K71" i="359"/>
  <c r="V70" i="359"/>
  <c r="U70" i="359"/>
  <c r="T70" i="359"/>
  <c r="S70" i="359"/>
  <c r="Q70" i="359"/>
  <c r="K70" i="359"/>
  <c r="V69" i="359"/>
  <c r="U69" i="359"/>
  <c r="T69" i="359"/>
  <c r="S69" i="359"/>
  <c r="Q69" i="359"/>
  <c r="K69" i="359"/>
  <c r="U68" i="359"/>
  <c r="T68" i="359"/>
  <c r="V68" i="359" s="1"/>
  <c r="S68" i="359"/>
  <c r="Q68" i="359"/>
  <c r="K68" i="359"/>
  <c r="AA67" i="359"/>
  <c r="V67" i="359"/>
  <c r="U67" i="359"/>
  <c r="T67" i="359"/>
  <c r="S67" i="359"/>
  <c r="Q67" i="359"/>
  <c r="K67" i="359"/>
  <c r="U66" i="359"/>
  <c r="T66" i="359"/>
  <c r="S66" i="359"/>
  <c r="Q66" i="359"/>
  <c r="K66" i="359"/>
  <c r="U65" i="359"/>
  <c r="V65" i="359" s="1"/>
  <c r="T65" i="359"/>
  <c r="S65" i="359"/>
  <c r="Q65" i="359"/>
  <c r="K65" i="359"/>
  <c r="U64" i="359"/>
  <c r="T64" i="359"/>
  <c r="S64" i="359"/>
  <c r="V64" i="359" s="1"/>
  <c r="Q64" i="359"/>
  <c r="K64" i="359"/>
  <c r="V63" i="359"/>
  <c r="U63" i="359"/>
  <c r="T63" i="359"/>
  <c r="S63" i="359"/>
  <c r="Q63" i="359"/>
  <c r="K63" i="359"/>
  <c r="AC62" i="359"/>
  <c r="U62" i="359"/>
  <c r="T62" i="359"/>
  <c r="V62" i="359" s="1"/>
  <c r="S62" i="359"/>
  <c r="Q62" i="359"/>
  <c r="K62" i="359"/>
  <c r="AB61" i="359"/>
  <c r="U61" i="359"/>
  <c r="T61" i="359"/>
  <c r="V61" i="359" s="1"/>
  <c r="S61" i="359"/>
  <c r="Q61" i="359"/>
  <c r="K61" i="359"/>
  <c r="AA60" i="359"/>
  <c r="V60" i="359"/>
  <c r="U60" i="359"/>
  <c r="T60" i="359"/>
  <c r="S60" i="359"/>
  <c r="Q60" i="359"/>
  <c r="K60" i="359"/>
  <c r="AI59" i="359"/>
  <c r="AJ59" i="359" s="1"/>
  <c r="AB59" i="359"/>
  <c r="AB62" i="359" s="1"/>
  <c r="AA59" i="359"/>
  <c r="AC79" i="359" s="1"/>
  <c r="U59" i="359"/>
  <c r="T59" i="359"/>
  <c r="S59" i="359"/>
  <c r="V59" i="359" s="1"/>
  <c r="Q59" i="359"/>
  <c r="K59" i="359"/>
  <c r="AM58" i="359"/>
  <c r="AB58" i="359"/>
  <c r="AA58" i="359"/>
  <c r="AG58" i="359" s="1"/>
  <c r="U58" i="359"/>
  <c r="T58" i="359"/>
  <c r="S58" i="359"/>
  <c r="Q58" i="359"/>
  <c r="K58" i="359"/>
  <c r="U57" i="359"/>
  <c r="T57" i="359"/>
  <c r="V57" i="359" s="1"/>
  <c r="S57" i="359"/>
  <c r="Q57" i="359"/>
  <c r="K57" i="359"/>
  <c r="U56" i="359"/>
  <c r="T56" i="359"/>
  <c r="V56" i="359" s="1"/>
  <c r="S56" i="359"/>
  <c r="Q56" i="359"/>
  <c r="K56" i="359"/>
  <c r="U55" i="359"/>
  <c r="T55" i="359"/>
  <c r="S55" i="359"/>
  <c r="V55" i="359" s="1"/>
  <c r="Q55" i="359"/>
  <c r="K55" i="359"/>
  <c r="V54" i="359"/>
  <c r="U54" i="359"/>
  <c r="T54" i="359"/>
  <c r="S54" i="359"/>
  <c r="Q54" i="359"/>
  <c r="K54" i="359"/>
  <c r="AK53" i="359"/>
  <c r="Y53" i="359"/>
  <c r="U53" i="359"/>
  <c r="T53" i="359"/>
  <c r="S53" i="359"/>
  <c r="V53" i="359" s="1"/>
  <c r="Q53" i="359"/>
  <c r="K53" i="359"/>
  <c r="U52" i="359"/>
  <c r="T52" i="359"/>
  <c r="S52" i="359"/>
  <c r="Q52" i="359"/>
  <c r="K52" i="359"/>
  <c r="Y51" i="359"/>
  <c r="U51" i="359"/>
  <c r="T51" i="359"/>
  <c r="S51" i="359"/>
  <c r="Q51" i="359"/>
  <c r="K51" i="359"/>
  <c r="AB50" i="359"/>
  <c r="U50" i="359"/>
  <c r="V50" i="359" s="1"/>
  <c r="T50" i="359"/>
  <c r="S50" i="359"/>
  <c r="Q50" i="359"/>
  <c r="K50" i="359"/>
  <c r="R54" i="359" s="1"/>
  <c r="Y49" i="359"/>
  <c r="Z49" i="359" s="1"/>
  <c r="U49" i="359"/>
  <c r="T49" i="359"/>
  <c r="S49" i="359"/>
  <c r="Q49" i="359"/>
  <c r="K49" i="359"/>
  <c r="Y48" i="359"/>
  <c r="Z48" i="359" s="1"/>
  <c r="V48" i="359"/>
  <c r="U48" i="359"/>
  <c r="T48" i="359"/>
  <c r="S48" i="359"/>
  <c r="Q48" i="359"/>
  <c r="K48" i="359"/>
  <c r="V47" i="359"/>
  <c r="U47" i="359"/>
  <c r="T47" i="359"/>
  <c r="S47" i="359"/>
  <c r="Q47" i="359"/>
  <c r="K47" i="359"/>
  <c r="U46" i="359"/>
  <c r="T46" i="359"/>
  <c r="Q46" i="359"/>
  <c r="S46" i="359" s="1"/>
  <c r="V46" i="359" s="1"/>
  <c r="K46" i="359"/>
  <c r="AB45" i="359"/>
  <c r="AA45" i="359"/>
  <c r="AC45" i="359" s="1"/>
  <c r="U45" i="359"/>
  <c r="T45" i="359"/>
  <c r="S45" i="359"/>
  <c r="V45" i="359" s="1"/>
  <c r="Q45" i="359"/>
  <c r="K45" i="359"/>
  <c r="AB44" i="359"/>
  <c r="AA44" i="359"/>
  <c r="AC44" i="359" s="1"/>
  <c r="V44" i="359"/>
  <c r="U44" i="359"/>
  <c r="T44" i="359"/>
  <c r="S44" i="359"/>
  <c r="Q44" i="359"/>
  <c r="K44" i="359"/>
  <c r="AC43" i="359"/>
  <c r="AB43" i="359"/>
  <c r="AA43" i="359"/>
  <c r="V43" i="359"/>
  <c r="U43" i="359"/>
  <c r="T43" i="359"/>
  <c r="S43" i="359"/>
  <c r="Q43" i="359"/>
  <c r="K43" i="359"/>
  <c r="V42" i="359"/>
  <c r="U42" i="359"/>
  <c r="T42" i="359"/>
  <c r="Q42" i="359"/>
  <c r="S42" i="359" s="1"/>
  <c r="K42" i="359"/>
  <c r="U41" i="359"/>
  <c r="V41" i="359" s="1"/>
  <c r="T41" i="359"/>
  <c r="Q41" i="359"/>
  <c r="S41" i="359" s="1"/>
  <c r="K41" i="359"/>
  <c r="V40" i="359"/>
  <c r="U40" i="359"/>
  <c r="T40" i="359"/>
  <c r="S40" i="359"/>
  <c r="K40" i="359"/>
  <c r="U39" i="359"/>
  <c r="V39" i="359" s="1"/>
  <c r="T39" i="359"/>
  <c r="S39" i="359"/>
  <c r="Q39" i="359"/>
  <c r="K39" i="359"/>
  <c r="U38" i="359"/>
  <c r="T38" i="359"/>
  <c r="S38" i="359"/>
  <c r="Q38" i="359"/>
  <c r="K38" i="359"/>
  <c r="U37" i="359"/>
  <c r="T37" i="359"/>
  <c r="S37" i="359"/>
  <c r="Q37" i="359"/>
  <c r="K37" i="359"/>
  <c r="Z36" i="359"/>
  <c r="AA36" i="359" s="1"/>
  <c r="U36" i="359"/>
  <c r="T36" i="359"/>
  <c r="S36" i="359"/>
  <c r="V36" i="359" s="1"/>
  <c r="Q36" i="359"/>
  <c r="K36" i="359"/>
  <c r="AD35" i="359"/>
  <c r="AD37" i="359" s="1"/>
  <c r="Z35" i="359"/>
  <c r="U35" i="359"/>
  <c r="T35" i="359"/>
  <c r="V35" i="359" s="1"/>
  <c r="S35" i="359"/>
  <c r="Q35" i="359"/>
  <c r="K35" i="359"/>
  <c r="AD34" i="359"/>
  <c r="AD36" i="359" s="1"/>
  <c r="AC34" i="359"/>
  <c r="U34" i="359"/>
  <c r="T34" i="359"/>
  <c r="S34" i="359"/>
  <c r="V34" i="359" s="1"/>
  <c r="Q34" i="359"/>
  <c r="K34" i="359"/>
  <c r="V33" i="359"/>
  <c r="U33" i="359"/>
  <c r="T33" i="359"/>
  <c r="S33" i="359"/>
  <c r="Q33" i="359"/>
  <c r="K33" i="359"/>
  <c r="U32" i="359"/>
  <c r="T32" i="359"/>
  <c r="S32" i="359"/>
  <c r="Q32" i="359"/>
  <c r="K32" i="359"/>
  <c r="U31" i="359"/>
  <c r="V31" i="359" s="1"/>
  <c r="T31" i="359"/>
  <c r="S31" i="359"/>
  <c r="Q31" i="359"/>
  <c r="K31" i="359"/>
  <c r="Z30" i="359"/>
  <c r="U30" i="359"/>
  <c r="T30" i="359"/>
  <c r="V30" i="359" s="1"/>
  <c r="S30" i="359"/>
  <c r="Q30" i="359"/>
  <c r="K30" i="359"/>
  <c r="V29" i="359"/>
  <c r="U29" i="359"/>
  <c r="T29" i="359"/>
  <c r="S29" i="359"/>
  <c r="Q29" i="359"/>
  <c r="K29" i="359"/>
  <c r="U28" i="359"/>
  <c r="T28" i="359"/>
  <c r="V28" i="359" s="1"/>
  <c r="S28" i="359"/>
  <c r="Q28" i="359"/>
  <c r="K28" i="359"/>
  <c r="U27" i="359"/>
  <c r="T27" i="359"/>
  <c r="S27" i="359"/>
  <c r="V27" i="359" s="1"/>
  <c r="Q27" i="359"/>
  <c r="K27" i="359"/>
  <c r="T26" i="359"/>
  <c r="S26" i="359"/>
  <c r="R26" i="359"/>
  <c r="Q26" i="359"/>
  <c r="U26" i="359" s="1"/>
  <c r="K26" i="359"/>
  <c r="U25" i="359"/>
  <c r="T25" i="359"/>
  <c r="Q25" i="359"/>
  <c r="S25" i="359" s="1"/>
  <c r="V25" i="359" s="1"/>
  <c r="K25" i="359"/>
  <c r="U24" i="359"/>
  <c r="T24" i="359"/>
  <c r="S24" i="359"/>
  <c r="V24" i="359" s="1"/>
  <c r="Q24" i="359"/>
  <c r="K24" i="359"/>
  <c r="U23" i="359"/>
  <c r="T23" i="359"/>
  <c r="S23" i="359"/>
  <c r="Q23" i="359"/>
  <c r="K23" i="359"/>
  <c r="U22" i="359"/>
  <c r="T22" i="359"/>
  <c r="Q22" i="359"/>
  <c r="S22" i="359" s="1"/>
  <c r="V22" i="359" s="1"/>
  <c r="K22" i="359"/>
  <c r="V21" i="359"/>
  <c r="U21" i="359"/>
  <c r="T21" i="359"/>
  <c r="S21" i="359"/>
  <c r="Q21" i="359"/>
  <c r="K21" i="359"/>
  <c r="U20" i="359"/>
  <c r="T20" i="359"/>
  <c r="Q20" i="359"/>
  <c r="S20" i="359" s="1"/>
  <c r="V20" i="359" s="1"/>
  <c r="K20" i="359"/>
  <c r="U19" i="359"/>
  <c r="T19" i="359"/>
  <c r="Q19" i="359"/>
  <c r="S19" i="359" s="1"/>
  <c r="V19" i="359" s="1"/>
  <c r="K19" i="359"/>
  <c r="U18" i="359"/>
  <c r="S18" i="359"/>
  <c r="Q18" i="359"/>
  <c r="T18" i="359" s="1"/>
  <c r="AB94" i="359" s="1"/>
  <c r="K18" i="359"/>
  <c r="U17" i="359"/>
  <c r="S17" i="359"/>
  <c r="Q17" i="359"/>
  <c r="T17" i="359" s="1"/>
  <c r="K17" i="359"/>
  <c r="Z16" i="359"/>
  <c r="AA16" i="359" s="1"/>
  <c r="U16" i="359"/>
  <c r="T16" i="359"/>
  <c r="S16" i="359"/>
  <c r="K16" i="359"/>
  <c r="Z15" i="359"/>
  <c r="U15" i="359"/>
  <c r="T15" i="359"/>
  <c r="S15" i="359"/>
  <c r="Q15" i="359"/>
  <c r="K15" i="359"/>
  <c r="U14" i="359"/>
  <c r="T14" i="359"/>
  <c r="S14" i="359"/>
  <c r="V14" i="359" s="1"/>
  <c r="Q14" i="359"/>
  <c r="K14" i="359"/>
  <c r="U13" i="359"/>
  <c r="T13" i="359"/>
  <c r="S13" i="359"/>
  <c r="Q13" i="359"/>
  <c r="K13" i="359"/>
  <c r="AC12" i="359"/>
  <c r="AB12" i="359"/>
  <c r="AA12" i="359"/>
  <c r="U12" i="359"/>
  <c r="T12" i="359"/>
  <c r="S12" i="359"/>
  <c r="V12" i="359" s="1"/>
  <c r="Q12" i="359"/>
  <c r="K12" i="359"/>
  <c r="AA11" i="359"/>
  <c r="U11" i="359"/>
  <c r="T11" i="359"/>
  <c r="S11" i="359"/>
  <c r="V11" i="359" s="1"/>
  <c r="Q11" i="359"/>
  <c r="K11" i="359"/>
  <c r="AB10" i="359"/>
  <c r="Z10" i="359"/>
  <c r="U10" i="359"/>
  <c r="T10" i="359"/>
  <c r="S10" i="359"/>
  <c r="V10" i="359" s="1"/>
  <c r="Q10" i="359"/>
  <c r="K10" i="359"/>
  <c r="AA9" i="359"/>
  <c r="U9" i="359"/>
  <c r="T9" i="359"/>
  <c r="S9" i="359"/>
  <c r="Q9" i="359"/>
  <c r="K9" i="359"/>
  <c r="Z8" i="359"/>
  <c r="Y55" i="359" s="1"/>
  <c r="U8" i="359"/>
  <c r="T8" i="359"/>
  <c r="Q8" i="359"/>
  <c r="S8" i="359" s="1"/>
  <c r="V8" i="359" s="1"/>
  <c r="K8" i="359"/>
  <c r="Z7" i="359"/>
  <c r="U7" i="359"/>
  <c r="Q7" i="359"/>
  <c r="I7" i="359"/>
  <c r="H7" i="359"/>
  <c r="Z6" i="359"/>
  <c r="U6" i="359"/>
  <c r="T6" i="359"/>
  <c r="S6" i="359"/>
  <c r="Q6" i="359"/>
  <c r="K6" i="359"/>
  <c r="U5" i="359"/>
  <c r="S5" i="359"/>
  <c r="Q5" i="359"/>
  <c r="T5" i="359" s="1"/>
  <c r="V5" i="359" s="1"/>
  <c r="K5" i="359"/>
  <c r="U4" i="359"/>
  <c r="T4" i="359"/>
  <c r="S4" i="359"/>
  <c r="V4" i="359" s="1"/>
  <c r="Q4" i="359"/>
  <c r="K4" i="359"/>
  <c r="AE3" i="359"/>
  <c r="U3" i="359"/>
  <c r="T3" i="359"/>
  <c r="S3" i="359"/>
  <c r="V3" i="359" s="1"/>
  <c r="Q3" i="359"/>
  <c r="K3" i="359"/>
  <c r="U2" i="359"/>
  <c r="T2" i="359"/>
  <c r="Q2" i="359"/>
  <c r="K2" i="359"/>
  <c r="AD34" i="361" l="1"/>
  <c r="R50" i="361"/>
  <c r="R105" i="361" s="1"/>
  <c r="V58" i="361"/>
  <c r="V59" i="361"/>
  <c r="AB61" i="361"/>
  <c r="V62" i="361"/>
  <c r="V72" i="361"/>
  <c r="V86" i="361"/>
  <c r="V94" i="361"/>
  <c r="V100" i="361"/>
  <c r="V102" i="361"/>
  <c r="V93" i="361"/>
  <c r="V60" i="361"/>
  <c r="V64" i="361"/>
  <c r="V65" i="361"/>
  <c r="V70" i="361"/>
  <c r="V78" i="361"/>
  <c r="V91" i="361"/>
  <c r="V96" i="361"/>
  <c r="AB62" i="361"/>
  <c r="U9" i="361"/>
  <c r="V39" i="361"/>
  <c r="V41" i="361"/>
  <c r="AC78" i="361"/>
  <c r="AC81" i="361" s="1"/>
  <c r="AH59" i="361"/>
  <c r="AI59" i="361" s="1"/>
  <c r="V53" i="361"/>
  <c r="V37" i="361"/>
  <c r="V54" i="361"/>
  <c r="V33" i="361"/>
  <c r="AB102" i="361"/>
  <c r="V30" i="361"/>
  <c r="V31" i="361"/>
  <c r="V47" i="361"/>
  <c r="V27" i="361"/>
  <c r="V25" i="361"/>
  <c r="V36" i="361"/>
  <c r="V55" i="361"/>
  <c r="V34" i="361"/>
  <c r="V35" i="361"/>
  <c r="V38" i="361"/>
  <c r="V43" i="361"/>
  <c r="V44" i="361"/>
  <c r="V49" i="361"/>
  <c r="V50" i="361"/>
  <c r="V56" i="361"/>
  <c r="V32" i="361"/>
  <c r="V45" i="361"/>
  <c r="V46" i="361"/>
  <c r="V22" i="361"/>
  <c r="V17" i="361"/>
  <c r="T9" i="361"/>
  <c r="V15" i="361"/>
  <c r="V6" i="361"/>
  <c r="V13" i="361"/>
  <c r="V3" i="361"/>
  <c r="V11" i="361"/>
  <c r="V12" i="361"/>
  <c r="V5" i="361"/>
  <c r="V24" i="361"/>
  <c r="S10" i="361"/>
  <c r="AB100" i="361" s="1"/>
  <c r="V8" i="361"/>
  <c r="V14" i="361"/>
  <c r="V29" i="361"/>
  <c r="V4" i="361"/>
  <c r="V28" i="361"/>
  <c r="O56" i="361"/>
  <c r="O50" i="361"/>
  <c r="O38" i="361"/>
  <c r="O34" i="361"/>
  <c r="O45" i="361"/>
  <c r="O42" i="361"/>
  <c r="O35" i="361"/>
  <c r="O46" i="361"/>
  <c r="O37" i="361"/>
  <c r="O32" i="361"/>
  <c r="O30" i="361"/>
  <c r="V19" i="361"/>
  <c r="V26" i="361"/>
  <c r="N56" i="361"/>
  <c r="O59" i="361" s="1"/>
  <c r="O41" i="361"/>
  <c r="Y55" i="361"/>
  <c r="Z72" i="361"/>
  <c r="O47" i="361"/>
  <c r="R52" i="361"/>
  <c r="R54" i="361"/>
  <c r="N50" i="361"/>
  <c r="O55" i="361"/>
  <c r="AK79" i="361"/>
  <c r="AA10" i="361"/>
  <c r="Z14" i="361"/>
  <c r="AB98" i="361"/>
  <c r="V16" i="361"/>
  <c r="O36" i="361"/>
  <c r="O49" i="361"/>
  <c r="O64" i="361"/>
  <c r="Q105" i="361"/>
  <c r="S2" i="361"/>
  <c r="I105" i="361"/>
  <c r="AB42" i="361"/>
  <c r="T7" i="361"/>
  <c r="V20" i="361"/>
  <c r="O39" i="361"/>
  <c r="O43" i="361"/>
  <c r="AC45" i="361"/>
  <c r="V48" i="361"/>
  <c r="V52" i="361"/>
  <c r="O53" i="361"/>
  <c r="O54" i="361"/>
  <c r="AA62" i="361"/>
  <c r="V66" i="361"/>
  <c r="O80" i="361"/>
  <c r="U105" i="361"/>
  <c r="AD4" i="361" s="1"/>
  <c r="AB93" i="361"/>
  <c r="O33" i="361"/>
  <c r="N85" i="361"/>
  <c r="O85" i="361" s="1"/>
  <c r="N94" i="361"/>
  <c r="H105" i="361"/>
  <c r="H107" i="361" s="1"/>
  <c r="AA97" i="361"/>
  <c r="S7" i="361"/>
  <c r="K7" i="361"/>
  <c r="K105" i="361" s="1"/>
  <c r="K108" i="361" s="1"/>
  <c r="K110" i="361" s="1"/>
  <c r="AB99" i="361"/>
  <c r="V18" i="361"/>
  <c r="V21" i="361"/>
  <c r="O31" i="361"/>
  <c r="AB36" i="361"/>
  <c r="V42" i="361"/>
  <c r="AA42" i="361"/>
  <c r="O44" i="361"/>
  <c r="O79" i="361"/>
  <c r="AC35" i="361"/>
  <c r="AB47" i="361"/>
  <c r="V71" i="361"/>
  <c r="V79" i="361"/>
  <c r="V87" i="361"/>
  <c r="V99" i="361"/>
  <c r="AB95" i="361"/>
  <c r="AA61" i="361"/>
  <c r="N81" i="361"/>
  <c r="O82" i="361" s="1"/>
  <c r="V92" i="361"/>
  <c r="Y55" i="360"/>
  <c r="AB102" i="360"/>
  <c r="V26" i="360"/>
  <c r="O2" i="360"/>
  <c r="O28" i="360"/>
  <c r="O25" i="360"/>
  <c r="O17" i="360"/>
  <c r="O8" i="360"/>
  <c r="O19" i="360"/>
  <c r="O6" i="360"/>
  <c r="O9" i="360"/>
  <c r="O22" i="360"/>
  <c r="O13" i="360"/>
  <c r="O3" i="360"/>
  <c r="O11" i="360"/>
  <c r="AB97" i="360"/>
  <c r="V2" i="360"/>
  <c r="O16" i="360"/>
  <c r="O99" i="360"/>
  <c r="O98" i="360"/>
  <c r="O96" i="360"/>
  <c r="O103" i="360"/>
  <c r="O100" i="360"/>
  <c r="O102" i="360"/>
  <c r="O95" i="360"/>
  <c r="O94" i="360"/>
  <c r="O12" i="360"/>
  <c r="O15" i="360"/>
  <c r="O24" i="360"/>
  <c r="AB95" i="360"/>
  <c r="V33" i="360"/>
  <c r="O55" i="360"/>
  <c r="N81" i="360"/>
  <c r="O7" i="360"/>
  <c r="T10" i="360"/>
  <c r="S10" i="360"/>
  <c r="S105" i="360" s="1"/>
  <c r="AC4" i="360" s="1"/>
  <c r="V16" i="360"/>
  <c r="AB93" i="360"/>
  <c r="O33" i="360"/>
  <c r="O38" i="360"/>
  <c r="V41" i="360"/>
  <c r="N56" i="360"/>
  <c r="O101" i="360"/>
  <c r="O20" i="360"/>
  <c r="O29" i="360"/>
  <c r="O36" i="360"/>
  <c r="AC80" i="360"/>
  <c r="AA62" i="360"/>
  <c r="AB47" i="360"/>
  <c r="AA61" i="360"/>
  <c r="O5" i="360"/>
  <c r="O10" i="360"/>
  <c r="O26" i="360"/>
  <c r="Z37" i="360"/>
  <c r="AA36" i="360"/>
  <c r="AB36" i="360" s="1"/>
  <c r="O4" i="360"/>
  <c r="V8" i="360"/>
  <c r="V13" i="360"/>
  <c r="O14" i="360"/>
  <c r="N27" i="360"/>
  <c r="O27" i="360"/>
  <c r="O37" i="360"/>
  <c r="O97" i="360"/>
  <c r="AA68" i="360"/>
  <c r="AC42" i="360"/>
  <c r="O49" i="360"/>
  <c r="O92" i="360"/>
  <c r="K105" i="360"/>
  <c r="K108" i="360" s="1"/>
  <c r="K110" i="360" s="1"/>
  <c r="Q105" i="360"/>
  <c r="T9" i="360"/>
  <c r="T105" i="360" s="1"/>
  <c r="AB4" i="360" s="1"/>
  <c r="Z10" i="360"/>
  <c r="AB98" i="360"/>
  <c r="AB100" i="360"/>
  <c r="AD36" i="360"/>
  <c r="AD37" i="360" s="1"/>
  <c r="V43" i="360"/>
  <c r="O44" i="360"/>
  <c r="N50" i="360"/>
  <c r="R50" i="360"/>
  <c r="R105" i="360" s="1"/>
  <c r="R52" i="360"/>
  <c r="V53" i="360"/>
  <c r="O54" i="360"/>
  <c r="AC79" i="360"/>
  <c r="AC81" i="360" s="1"/>
  <c r="AI59" i="360"/>
  <c r="AJ59" i="360" s="1"/>
  <c r="V66" i="360"/>
  <c r="V73" i="360"/>
  <c r="V83" i="360"/>
  <c r="AA92" i="360"/>
  <c r="V93" i="360"/>
  <c r="V94" i="360"/>
  <c r="O87" i="360"/>
  <c r="U105" i="360"/>
  <c r="AD4" i="360" s="1"/>
  <c r="H105" i="360"/>
  <c r="H107" i="360" s="1"/>
  <c r="AA97" i="360"/>
  <c r="AA69" i="360"/>
  <c r="O31" i="360"/>
  <c r="AE34" i="360"/>
  <c r="V39" i="360"/>
  <c r="AB42" i="360"/>
  <c r="O47" i="360"/>
  <c r="R54" i="360"/>
  <c r="O58" i="360"/>
  <c r="V68" i="360"/>
  <c r="V75" i="360"/>
  <c r="N85" i="360"/>
  <c r="V91" i="360"/>
  <c r="AC35" i="360"/>
  <c r="AB62" i="360"/>
  <c r="AB61" i="360"/>
  <c r="V70" i="360"/>
  <c r="V78" i="360"/>
  <c r="V84" i="360"/>
  <c r="X84" i="360" s="1"/>
  <c r="O86" i="360"/>
  <c r="O39" i="359"/>
  <c r="AB99" i="359"/>
  <c r="V18" i="359"/>
  <c r="U105" i="359"/>
  <c r="AD4" i="359" s="1"/>
  <c r="AK79" i="359"/>
  <c r="Z14" i="359"/>
  <c r="AA10" i="359"/>
  <c r="I105" i="359"/>
  <c r="AB42" i="359"/>
  <c r="AA92" i="359"/>
  <c r="T7" i="359"/>
  <c r="T105" i="359" s="1"/>
  <c r="AB4" i="359" s="1"/>
  <c r="V17" i="359"/>
  <c r="Q105" i="359"/>
  <c r="S2" i="359"/>
  <c r="V6" i="359"/>
  <c r="V9" i="359"/>
  <c r="V23" i="359"/>
  <c r="AB102" i="359"/>
  <c r="V26" i="359"/>
  <c r="N27" i="359"/>
  <c r="AB100" i="359"/>
  <c r="V52" i="359"/>
  <c r="AB93" i="359"/>
  <c r="V16" i="359"/>
  <c r="Z37" i="359"/>
  <c r="O50" i="359"/>
  <c r="N50" i="359"/>
  <c r="R50" i="359"/>
  <c r="R52" i="359"/>
  <c r="H105" i="359"/>
  <c r="H107" i="359" s="1"/>
  <c r="AA97" i="359"/>
  <c r="AA42" i="359"/>
  <c r="AC42" i="359" s="1"/>
  <c r="S7" i="359"/>
  <c r="K7" i="359"/>
  <c r="K105" i="359" s="1"/>
  <c r="K108" i="359" s="1"/>
  <c r="K110" i="359" s="1"/>
  <c r="V13" i="359"/>
  <c r="AA62" i="359"/>
  <c r="AB92" i="359"/>
  <c r="AC61" i="359"/>
  <c r="AA69" i="359" s="1"/>
  <c r="AC58" i="359"/>
  <c r="AA15" i="359"/>
  <c r="R105" i="359"/>
  <c r="O32" i="359"/>
  <c r="O43" i="359"/>
  <c r="O46" i="359"/>
  <c r="Z72" i="359"/>
  <c r="O56" i="359"/>
  <c r="AA61" i="359"/>
  <c r="V15" i="359"/>
  <c r="V32" i="359"/>
  <c r="O34" i="359"/>
  <c r="AC35" i="359"/>
  <c r="AE34" i="359"/>
  <c r="O36" i="359"/>
  <c r="AC36" i="359"/>
  <c r="AE36" i="359" s="1"/>
  <c r="O45" i="359"/>
  <c r="O54" i="359"/>
  <c r="N56" i="359"/>
  <c r="AC80" i="359"/>
  <c r="AC81" i="359" s="1"/>
  <c r="AB47" i="359"/>
  <c r="N81" i="359"/>
  <c r="V37" i="359"/>
  <c r="O76" i="359"/>
  <c r="V78" i="359"/>
  <c r="N85" i="359"/>
  <c r="V87" i="359"/>
  <c r="AB86" i="359"/>
  <c r="AC86" i="359" s="1"/>
  <c r="AD86" i="359" s="1"/>
  <c r="AD87" i="359" s="1"/>
  <c r="AD88" i="359" s="1"/>
  <c r="AB98" i="359"/>
  <c r="AB95" i="359"/>
  <c r="AB36" i="359"/>
  <c r="V38" i="359"/>
  <c r="O42" i="359"/>
  <c r="V49" i="359"/>
  <c r="O55" i="359"/>
  <c r="O63" i="359"/>
  <c r="V66" i="359"/>
  <c r="O69" i="359"/>
  <c r="O82" i="359"/>
  <c r="V84" i="359"/>
  <c r="X84" i="359" s="1"/>
  <c r="O85" i="359"/>
  <c r="O89" i="359"/>
  <c r="V98" i="359"/>
  <c r="V99" i="359"/>
  <c r="V51" i="359"/>
  <c r="V58" i="359"/>
  <c r="O77" i="359"/>
  <c r="V86" i="359"/>
  <c r="V89" i="359"/>
  <c r="N94" i="359"/>
  <c r="V96" i="359"/>
  <c r="Z8" i="358"/>
  <c r="O88" i="361" l="1"/>
  <c r="V7" i="361"/>
  <c r="O90" i="361"/>
  <c r="O69" i="361"/>
  <c r="V9" i="361"/>
  <c r="AE34" i="361"/>
  <c r="AD35" i="361"/>
  <c r="AD37" i="361" s="1"/>
  <c r="AD36" i="361"/>
  <c r="AE36" i="361" s="1"/>
  <c r="AC42" i="361"/>
  <c r="V10" i="361"/>
  <c r="AB92" i="361"/>
  <c r="T105" i="361"/>
  <c r="AB4" i="361" s="1"/>
  <c r="AB5" i="361" s="1"/>
  <c r="O81" i="361"/>
  <c r="O67" i="361"/>
  <c r="O58" i="361"/>
  <c r="O72" i="361"/>
  <c r="O74" i="361"/>
  <c r="O60" i="361"/>
  <c r="O103" i="361"/>
  <c r="O101" i="361"/>
  <c r="O97" i="361"/>
  <c r="O95" i="361"/>
  <c r="O98" i="361"/>
  <c r="O96" i="361"/>
  <c r="O102" i="361"/>
  <c r="O94" i="361"/>
  <c r="O99" i="361"/>
  <c r="O100" i="361"/>
  <c r="O77" i="361"/>
  <c r="Z13" i="361"/>
  <c r="AA4" i="361"/>
  <c r="Z18" i="361"/>
  <c r="Z24" i="361" s="1"/>
  <c r="AA3" i="361"/>
  <c r="O66" i="361"/>
  <c r="O84" i="361"/>
  <c r="O83" i="361"/>
  <c r="O65" i="361"/>
  <c r="O78" i="361"/>
  <c r="O75" i="361"/>
  <c r="O73" i="361"/>
  <c r="O68" i="361"/>
  <c r="O61" i="361"/>
  <c r="O57" i="361"/>
  <c r="O62" i="361"/>
  <c r="O70" i="361"/>
  <c r="O71" i="361"/>
  <c r="Z60" i="361"/>
  <c r="AD6" i="361"/>
  <c r="AA35" i="361"/>
  <c r="AD5" i="361"/>
  <c r="AA34" i="361" s="1"/>
  <c r="AB34" i="361" s="1"/>
  <c r="O76" i="361"/>
  <c r="AC37" i="361"/>
  <c r="O63" i="361"/>
  <c r="O86" i="361"/>
  <c r="O93" i="361"/>
  <c r="O87" i="361"/>
  <c r="O91" i="361"/>
  <c r="O92" i="361"/>
  <c r="O89" i="361"/>
  <c r="AB97" i="361"/>
  <c r="S105" i="361"/>
  <c r="AC4" i="361" s="1"/>
  <c r="V2" i="361"/>
  <c r="N2" i="361"/>
  <c r="O7" i="361" s="1"/>
  <c r="Z59" i="360"/>
  <c r="AC5" i="360"/>
  <c r="Z58" i="360"/>
  <c r="AE4" i="360"/>
  <c r="AB5" i="360"/>
  <c r="AC37" i="360"/>
  <c r="AE35" i="360"/>
  <c r="AE37" i="360" s="1"/>
  <c r="AK79" i="360"/>
  <c r="Z14" i="360"/>
  <c r="AA10" i="360"/>
  <c r="O62" i="360"/>
  <c r="O59" i="360"/>
  <c r="O70" i="360"/>
  <c r="O74" i="360"/>
  <c r="O73" i="360"/>
  <c r="O76" i="360"/>
  <c r="O65" i="360"/>
  <c r="O61" i="360"/>
  <c r="O60" i="360"/>
  <c r="O80" i="360"/>
  <c r="O68" i="360"/>
  <c r="O75" i="360"/>
  <c r="O64" i="360"/>
  <c r="O83" i="360"/>
  <c r="O82" i="360"/>
  <c r="N105" i="360"/>
  <c r="O71" i="360"/>
  <c r="O72" i="360"/>
  <c r="O63" i="360"/>
  <c r="V9" i="360"/>
  <c r="O93" i="360"/>
  <c r="O90" i="360"/>
  <c r="O88" i="360"/>
  <c r="O85" i="360"/>
  <c r="O91" i="360"/>
  <c r="O67" i="360"/>
  <c r="Z60" i="360"/>
  <c r="AD5" i="360"/>
  <c r="AA34" i="360" s="1"/>
  <c r="AB34" i="360" s="1"/>
  <c r="AD6" i="360"/>
  <c r="AA35" i="360"/>
  <c r="O77" i="360"/>
  <c r="O69" i="360"/>
  <c r="O53" i="360"/>
  <c r="O56" i="360"/>
  <c r="O43" i="360"/>
  <c r="O32" i="360"/>
  <c r="O30" i="360"/>
  <c r="O42" i="360"/>
  <c r="O34" i="360"/>
  <c r="O50" i="360"/>
  <c r="O39" i="360"/>
  <c r="O46" i="360"/>
  <c r="O45" i="360"/>
  <c r="O35" i="360"/>
  <c r="AB92" i="360"/>
  <c r="O41" i="360"/>
  <c r="O79" i="360"/>
  <c r="O57" i="360"/>
  <c r="V105" i="360"/>
  <c r="AE36" i="360"/>
  <c r="O84" i="360"/>
  <c r="O89" i="360"/>
  <c r="O78" i="360"/>
  <c r="O66" i="360"/>
  <c r="V10" i="360"/>
  <c r="O81" i="360"/>
  <c r="Z58" i="359"/>
  <c r="AB5" i="359"/>
  <c r="O70" i="359"/>
  <c r="O62" i="359"/>
  <c r="O75" i="359"/>
  <c r="O59" i="359"/>
  <c r="O73" i="359"/>
  <c r="O65" i="359"/>
  <c r="O61" i="359"/>
  <c r="O58" i="359"/>
  <c r="O57" i="359"/>
  <c r="O78" i="359"/>
  <c r="O68" i="359"/>
  <c r="S105" i="359"/>
  <c r="AC4" i="359" s="1"/>
  <c r="AE4" i="359" s="1"/>
  <c r="AB97" i="359"/>
  <c r="V2" i="359"/>
  <c r="Z60" i="359"/>
  <c r="AA35" i="359"/>
  <c r="AD6" i="359"/>
  <c r="AD5" i="359"/>
  <c r="AA34" i="359" s="1"/>
  <c r="AB34" i="359" s="1"/>
  <c r="O103" i="359"/>
  <c r="O101" i="359"/>
  <c r="O97" i="359"/>
  <c r="O95" i="359"/>
  <c r="O98" i="359"/>
  <c r="O96" i="359"/>
  <c r="O100" i="359"/>
  <c r="O102" i="359"/>
  <c r="O99" i="359"/>
  <c r="O94" i="359"/>
  <c r="O80" i="359"/>
  <c r="O67" i="359"/>
  <c r="O93" i="359"/>
  <c r="O92" i="359"/>
  <c r="O91" i="359"/>
  <c r="O86" i="359"/>
  <c r="O87" i="359"/>
  <c r="O72" i="359"/>
  <c r="O90" i="359"/>
  <c r="O79" i="359"/>
  <c r="AE35" i="359"/>
  <c r="AE37" i="359" s="1"/>
  <c r="AC37" i="359"/>
  <c r="AA68" i="359"/>
  <c r="O60" i="359"/>
  <c r="O53" i="359"/>
  <c r="O47" i="359"/>
  <c r="O44" i="359"/>
  <c r="O49" i="359"/>
  <c r="O41" i="359"/>
  <c r="O35" i="359"/>
  <c r="O38" i="359"/>
  <c r="O37" i="359"/>
  <c r="O31" i="359"/>
  <c r="O33" i="359"/>
  <c r="O30" i="359"/>
  <c r="Z18" i="359"/>
  <c r="Z24" i="359" s="1"/>
  <c r="W2" i="359" s="1"/>
  <c r="AA4" i="359"/>
  <c r="AA3" i="359"/>
  <c r="Z13" i="359"/>
  <c r="O83" i="359"/>
  <c r="O84" i="359"/>
  <c r="O71" i="359"/>
  <c r="O81" i="359"/>
  <c r="O64" i="359"/>
  <c r="O74" i="359"/>
  <c r="V7" i="359"/>
  <c r="N2" i="359"/>
  <c r="O88" i="359"/>
  <c r="O66" i="359"/>
  <c r="AD6" i="358"/>
  <c r="R26" i="358"/>
  <c r="H7" i="358"/>
  <c r="I7" i="358"/>
  <c r="U123" i="358"/>
  <c r="I113" i="358"/>
  <c r="P105" i="358"/>
  <c r="M105" i="358"/>
  <c r="J105" i="358"/>
  <c r="U103" i="358"/>
  <c r="T103" i="358"/>
  <c r="S103" i="358"/>
  <c r="V103" i="358" s="1"/>
  <c r="Q103" i="358"/>
  <c r="K103" i="358"/>
  <c r="AA102" i="358"/>
  <c r="V102" i="358"/>
  <c r="U102" i="358"/>
  <c r="T102" i="358"/>
  <c r="S102" i="358"/>
  <c r="Q102" i="358"/>
  <c r="K102" i="358"/>
  <c r="U101" i="358"/>
  <c r="T101" i="358"/>
  <c r="S101" i="358"/>
  <c r="V101" i="358" s="1"/>
  <c r="Q101" i="358"/>
  <c r="K101" i="358"/>
  <c r="AA100" i="358"/>
  <c r="V100" i="358"/>
  <c r="U100" i="358"/>
  <c r="T100" i="358"/>
  <c r="S100" i="358"/>
  <c r="Q100" i="358"/>
  <c r="K100" i="358"/>
  <c r="AA99" i="358"/>
  <c r="U99" i="358"/>
  <c r="T99" i="358"/>
  <c r="S99" i="358"/>
  <c r="Q99" i="358"/>
  <c r="K99" i="358"/>
  <c r="AA98" i="358"/>
  <c r="U98" i="358"/>
  <c r="T98" i="358"/>
  <c r="S98" i="358"/>
  <c r="Q98" i="358"/>
  <c r="K98" i="358"/>
  <c r="U97" i="358"/>
  <c r="T97" i="358"/>
  <c r="S97" i="358"/>
  <c r="V97" i="358" s="1"/>
  <c r="Q97" i="358"/>
  <c r="K97" i="358"/>
  <c r="U96" i="358"/>
  <c r="T96" i="358"/>
  <c r="S96" i="358"/>
  <c r="V96" i="358" s="1"/>
  <c r="Q96" i="358"/>
  <c r="K96" i="358"/>
  <c r="AA95" i="358"/>
  <c r="U95" i="358"/>
  <c r="T95" i="358"/>
  <c r="S95" i="358"/>
  <c r="V95" i="358" s="1"/>
  <c r="Q95" i="358"/>
  <c r="K95" i="358"/>
  <c r="AA94" i="358"/>
  <c r="V94" i="358"/>
  <c r="U94" i="358"/>
  <c r="T94" i="358"/>
  <c r="S94" i="358"/>
  <c r="Q94" i="358"/>
  <c r="K94" i="358"/>
  <c r="AA93" i="358"/>
  <c r="U93" i="358"/>
  <c r="V93" i="358" s="1"/>
  <c r="T93" i="358"/>
  <c r="S93" i="358"/>
  <c r="Q93" i="358"/>
  <c r="K93" i="358"/>
  <c r="U92" i="358"/>
  <c r="T92" i="358"/>
  <c r="S92" i="358"/>
  <c r="Q92" i="358"/>
  <c r="K92" i="358"/>
  <c r="U91" i="358"/>
  <c r="V91" i="358" s="1"/>
  <c r="T91" i="358"/>
  <c r="S91" i="358"/>
  <c r="Q91" i="358"/>
  <c r="K91" i="358"/>
  <c r="U90" i="358"/>
  <c r="T90" i="358"/>
  <c r="S90" i="358"/>
  <c r="V90" i="358" s="1"/>
  <c r="Q90" i="358"/>
  <c r="K90" i="358"/>
  <c r="U89" i="358"/>
  <c r="T89" i="358"/>
  <c r="S89" i="358"/>
  <c r="V89" i="358" s="1"/>
  <c r="Q89" i="358"/>
  <c r="K89" i="358"/>
  <c r="V88" i="358"/>
  <c r="U88" i="358"/>
  <c r="T88" i="358"/>
  <c r="S88" i="358"/>
  <c r="Q88" i="358"/>
  <c r="K88" i="358"/>
  <c r="AE87" i="358"/>
  <c r="AA87" i="358"/>
  <c r="Y87" i="358"/>
  <c r="U87" i="358"/>
  <c r="T87" i="358"/>
  <c r="S87" i="358"/>
  <c r="Q87" i="358"/>
  <c r="K87" i="358"/>
  <c r="AG86" i="358"/>
  <c r="AH86" i="358" s="1"/>
  <c r="AH87" i="358" s="1"/>
  <c r="AH88" i="358" s="1"/>
  <c r="AF86" i="358"/>
  <c r="AB86" i="358"/>
  <c r="AC86" i="358" s="1"/>
  <c r="AD86" i="358" s="1"/>
  <c r="AD87" i="358" s="1"/>
  <c r="AD88" i="358" s="1"/>
  <c r="AA86" i="358"/>
  <c r="U86" i="358"/>
  <c r="T86" i="358"/>
  <c r="S86" i="358"/>
  <c r="V86" i="358" s="1"/>
  <c r="Q86" i="358"/>
  <c r="K86" i="358"/>
  <c r="V85" i="358"/>
  <c r="U85" i="358"/>
  <c r="T85" i="358"/>
  <c r="S85" i="358"/>
  <c r="Q85" i="358"/>
  <c r="K85" i="358"/>
  <c r="U84" i="358"/>
  <c r="T84" i="358"/>
  <c r="S84" i="358"/>
  <c r="Q84" i="358"/>
  <c r="K84" i="358"/>
  <c r="V83" i="358"/>
  <c r="U83" i="358"/>
  <c r="T83" i="358"/>
  <c r="S83" i="358"/>
  <c r="Q83" i="358"/>
  <c r="K83" i="358"/>
  <c r="V82" i="358"/>
  <c r="U82" i="358"/>
  <c r="T82" i="358"/>
  <c r="S82" i="358"/>
  <c r="Q82" i="358"/>
  <c r="K82" i="358"/>
  <c r="AA81" i="358"/>
  <c r="Z81" i="358"/>
  <c r="V81" i="358"/>
  <c r="U81" i="358"/>
  <c r="T81" i="358"/>
  <c r="S81" i="358"/>
  <c r="Q81" i="358"/>
  <c r="K81" i="358"/>
  <c r="AI80" i="358"/>
  <c r="U80" i="358"/>
  <c r="T80" i="358"/>
  <c r="S80" i="358"/>
  <c r="V80" i="358" s="1"/>
  <c r="Q80" i="358"/>
  <c r="K80" i="358"/>
  <c r="AI79" i="358"/>
  <c r="U79" i="358"/>
  <c r="T79" i="358"/>
  <c r="S79" i="358"/>
  <c r="Q79" i="358"/>
  <c r="K79" i="358"/>
  <c r="AI78" i="358"/>
  <c r="U78" i="358"/>
  <c r="T78" i="358"/>
  <c r="S78" i="358"/>
  <c r="Q78" i="358"/>
  <c r="K78" i="358"/>
  <c r="U77" i="358"/>
  <c r="T77" i="358"/>
  <c r="S77" i="358"/>
  <c r="V77" i="358" s="1"/>
  <c r="Q77" i="358"/>
  <c r="K77" i="358"/>
  <c r="U76" i="358"/>
  <c r="T76" i="358"/>
  <c r="S76" i="358"/>
  <c r="V76" i="358" s="1"/>
  <c r="Q76" i="358"/>
  <c r="K76" i="358"/>
  <c r="V75" i="358"/>
  <c r="U75" i="358"/>
  <c r="T75" i="358"/>
  <c r="S75" i="358"/>
  <c r="Q75" i="358"/>
  <c r="K75" i="358"/>
  <c r="V74" i="358"/>
  <c r="U74" i="358"/>
  <c r="T74" i="358"/>
  <c r="S74" i="358"/>
  <c r="Q74" i="358"/>
  <c r="K74" i="358"/>
  <c r="AD73" i="358"/>
  <c r="Z73" i="358"/>
  <c r="V73" i="358"/>
  <c r="U73" i="358"/>
  <c r="T73" i="358"/>
  <c r="S73" i="358"/>
  <c r="Q73" i="358"/>
  <c r="K73" i="358"/>
  <c r="U72" i="358"/>
  <c r="T72" i="358"/>
  <c r="S72" i="358"/>
  <c r="Q72" i="358"/>
  <c r="K72" i="358"/>
  <c r="U71" i="358"/>
  <c r="T71" i="358"/>
  <c r="S71" i="358"/>
  <c r="V71" i="358" s="1"/>
  <c r="Q71" i="358"/>
  <c r="K71" i="358"/>
  <c r="U70" i="358"/>
  <c r="T70" i="358"/>
  <c r="S70" i="358"/>
  <c r="Q70" i="358"/>
  <c r="K70" i="358"/>
  <c r="U69" i="358"/>
  <c r="T69" i="358"/>
  <c r="S69" i="358"/>
  <c r="V69" i="358" s="1"/>
  <c r="Q69" i="358"/>
  <c r="K69" i="358"/>
  <c r="V68" i="358"/>
  <c r="U68" i="358"/>
  <c r="T68" i="358"/>
  <c r="S68" i="358"/>
  <c r="Q68" i="358"/>
  <c r="K68" i="358"/>
  <c r="AA67" i="358"/>
  <c r="U67" i="358"/>
  <c r="T67" i="358"/>
  <c r="S67" i="358"/>
  <c r="V67" i="358" s="1"/>
  <c r="Q67" i="358"/>
  <c r="K67" i="358"/>
  <c r="U66" i="358"/>
  <c r="T66" i="358"/>
  <c r="S66" i="358"/>
  <c r="Q66" i="358"/>
  <c r="K66" i="358"/>
  <c r="U65" i="358"/>
  <c r="T65" i="358"/>
  <c r="V65" i="358" s="1"/>
  <c r="S65" i="358"/>
  <c r="Q65" i="358"/>
  <c r="K65" i="358"/>
  <c r="U64" i="358"/>
  <c r="T64" i="358"/>
  <c r="S64" i="358"/>
  <c r="V64" i="358" s="1"/>
  <c r="Q64" i="358"/>
  <c r="K64" i="358"/>
  <c r="U63" i="358"/>
  <c r="T63" i="358"/>
  <c r="S63" i="358"/>
  <c r="V63" i="358" s="1"/>
  <c r="Q63" i="358"/>
  <c r="K63" i="358"/>
  <c r="AC62" i="358"/>
  <c r="AB62" i="358"/>
  <c r="U62" i="358"/>
  <c r="T62" i="358"/>
  <c r="S62" i="358"/>
  <c r="Q62" i="358"/>
  <c r="K62" i="358"/>
  <c r="AB61" i="358"/>
  <c r="U61" i="358"/>
  <c r="V61" i="358" s="1"/>
  <c r="T61" i="358"/>
  <c r="S61" i="358"/>
  <c r="Q61" i="358"/>
  <c r="K61" i="358"/>
  <c r="AA60" i="358"/>
  <c r="AC80" i="358" s="1"/>
  <c r="U60" i="358"/>
  <c r="T60" i="358"/>
  <c r="S60" i="358"/>
  <c r="Q60" i="358"/>
  <c r="K60" i="358"/>
  <c r="AB59" i="358"/>
  <c r="AA59" i="358"/>
  <c r="AC79" i="358" s="1"/>
  <c r="V59" i="358"/>
  <c r="U59" i="358"/>
  <c r="T59" i="358"/>
  <c r="S59" i="358"/>
  <c r="Q59" i="358"/>
  <c r="K59" i="358"/>
  <c r="AM58" i="358"/>
  <c r="AC58" i="358"/>
  <c r="AB58" i="358"/>
  <c r="AA58" i="358"/>
  <c r="AG58" i="358" s="1"/>
  <c r="U58" i="358"/>
  <c r="T58" i="358"/>
  <c r="S58" i="358"/>
  <c r="V58" i="358" s="1"/>
  <c r="Q58" i="358"/>
  <c r="K58" i="358"/>
  <c r="U57" i="358"/>
  <c r="V57" i="358" s="1"/>
  <c r="T57" i="358"/>
  <c r="S57" i="358"/>
  <c r="Q57" i="358"/>
  <c r="K57" i="358"/>
  <c r="U56" i="358"/>
  <c r="T56" i="358"/>
  <c r="S56" i="358"/>
  <c r="Q56" i="358"/>
  <c r="N56" i="358"/>
  <c r="K56" i="358"/>
  <c r="U55" i="358"/>
  <c r="T55" i="358"/>
  <c r="S55" i="358"/>
  <c r="Q55" i="358"/>
  <c r="K55" i="358"/>
  <c r="U54" i="358"/>
  <c r="T54" i="358"/>
  <c r="S54" i="358"/>
  <c r="Q54" i="358"/>
  <c r="K54" i="358"/>
  <c r="R52" i="358" s="1"/>
  <c r="AK53" i="358"/>
  <c r="Y53" i="358"/>
  <c r="U53" i="358"/>
  <c r="T53" i="358"/>
  <c r="Q53" i="358"/>
  <c r="S53" i="358" s="1"/>
  <c r="K53" i="358"/>
  <c r="U52" i="358"/>
  <c r="T52" i="358"/>
  <c r="V52" i="358" s="1"/>
  <c r="S52" i="358"/>
  <c r="Q52" i="358"/>
  <c r="K52" i="358"/>
  <c r="Y51" i="358"/>
  <c r="U51" i="358"/>
  <c r="T51" i="358"/>
  <c r="S51" i="358"/>
  <c r="V51" i="358" s="1"/>
  <c r="Q51" i="358"/>
  <c r="K51" i="358"/>
  <c r="AB50" i="358"/>
  <c r="U50" i="358"/>
  <c r="T50" i="358"/>
  <c r="S50" i="358"/>
  <c r="Q50" i="358"/>
  <c r="K50" i="358"/>
  <c r="Z49" i="358"/>
  <c r="Y49" i="358"/>
  <c r="U49" i="358"/>
  <c r="T49" i="358"/>
  <c r="S49" i="358"/>
  <c r="Q49" i="358"/>
  <c r="K49" i="358"/>
  <c r="Z48" i="358"/>
  <c r="Y48" i="358"/>
  <c r="U48" i="358"/>
  <c r="T48" i="358"/>
  <c r="S48" i="358"/>
  <c r="V48" i="358" s="1"/>
  <c r="Q48" i="358"/>
  <c r="K48" i="358"/>
  <c r="AB47" i="358"/>
  <c r="U47" i="358"/>
  <c r="T47" i="358"/>
  <c r="S47" i="358"/>
  <c r="Q47" i="358"/>
  <c r="K47" i="358"/>
  <c r="U46" i="358"/>
  <c r="T46" i="358"/>
  <c r="Q46" i="358"/>
  <c r="S46" i="358" s="1"/>
  <c r="K46" i="358"/>
  <c r="AB45" i="358"/>
  <c r="AA45" i="358"/>
  <c r="AC45" i="358" s="1"/>
  <c r="U45" i="358"/>
  <c r="T45" i="358"/>
  <c r="S45" i="358"/>
  <c r="Q45" i="358"/>
  <c r="K45" i="358"/>
  <c r="AB44" i="358"/>
  <c r="AA44" i="358"/>
  <c r="AC44" i="358" s="1"/>
  <c r="U44" i="358"/>
  <c r="T44" i="358"/>
  <c r="S44" i="358"/>
  <c r="Q44" i="358"/>
  <c r="K44" i="358"/>
  <c r="AC43" i="358"/>
  <c r="AB43" i="358"/>
  <c r="AA43" i="358"/>
  <c r="U43" i="358"/>
  <c r="T43" i="358"/>
  <c r="S43" i="358"/>
  <c r="Q43" i="358"/>
  <c r="K43" i="358"/>
  <c r="U42" i="358"/>
  <c r="T42" i="358"/>
  <c r="Q42" i="358"/>
  <c r="S42" i="358" s="1"/>
  <c r="K42" i="358"/>
  <c r="U41" i="358"/>
  <c r="T41" i="358"/>
  <c r="S41" i="358"/>
  <c r="Q41" i="358"/>
  <c r="K41" i="358"/>
  <c r="V40" i="358"/>
  <c r="U40" i="358"/>
  <c r="T40" i="358"/>
  <c r="S40" i="358"/>
  <c r="K40" i="358"/>
  <c r="U39" i="358"/>
  <c r="T39" i="358"/>
  <c r="S39" i="358"/>
  <c r="V39" i="358" s="1"/>
  <c r="Q39" i="358"/>
  <c r="K39" i="358"/>
  <c r="U38" i="358"/>
  <c r="T38" i="358"/>
  <c r="Q38" i="358"/>
  <c r="S38" i="358" s="1"/>
  <c r="K38" i="358"/>
  <c r="U37" i="358"/>
  <c r="T37" i="358"/>
  <c r="S37" i="358"/>
  <c r="Q37" i="358"/>
  <c r="K37" i="358"/>
  <c r="AA36" i="358"/>
  <c r="Z36" i="358"/>
  <c r="U36" i="358"/>
  <c r="T36" i="358"/>
  <c r="S36" i="358"/>
  <c r="V36" i="358" s="1"/>
  <c r="Q36" i="358"/>
  <c r="K36" i="358"/>
  <c r="Z35" i="358"/>
  <c r="U35" i="358"/>
  <c r="T35" i="358"/>
  <c r="S35" i="358"/>
  <c r="Q35" i="358"/>
  <c r="K35" i="358"/>
  <c r="AC34" i="358"/>
  <c r="U34" i="358"/>
  <c r="T34" i="358"/>
  <c r="S34" i="358"/>
  <c r="Q34" i="358"/>
  <c r="K34" i="358"/>
  <c r="U33" i="358"/>
  <c r="T33" i="358"/>
  <c r="S33" i="358"/>
  <c r="Q33" i="358"/>
  <c r="K33" i="358"/>
  <c r="U32" i="358"/>
  <c r="T32" i="358"/>
  <c r="S32" i="358"/>
  <c r="Q32" i="358"/>
  <c r="K32" i="358"/>
  <c r="U31" i="358"/>
  <c r="T31" i="358"/>
  <c r="S31" i="358"/>
  <c r="Q31" i="358"/>
  <c r="K31" i="358"/>
  <c r="Z30" i="358"/>
  <c r="AA68" i="358" s="1"/>
  <c r="U30" i="358"/>
  <c r="T30" i="358"/>
  <c r="S30" i="358"/>
  <c r="Q30" i="358"/>
  <c r="K30" i="358"/>
  <c r="U29" i="358"/>
  <c r="T29" i="358"/>
  <c r="S29" i="358"/>
  <c r="Q29" i="358"/>
  <c r="K29" i="358"/>
  <c r="U28" i="358"/>
  <c r="T28" i="358"/>
  <c r="S28" i="358"/>
  <c r="Q28" i="358"/>
  <c r="K28" i="358"/>
  <c r="U27" i="358"/>
  <c r="T27" i="358"/>
  <c r="S27" i="358"/>
  <c r="Q27" i="358"/>
  <c r="K27" i="358"/>
  <c r="T26" i="358"/>
  <c r="S26" i="358"/>
  <c r="Q26" i="358"/>
  <c r="U26" i="358" s="1"/>
  <c r="K26" i="358"/>
  <c r="U25" i="358"/>
  <c r="T25" i="358"/>
  <c r="Q25" i="358"/>
  <c r="S25" i="358" s="1"/>
  <c r="K25" i="358"/>
  <c r="U24" i="358"/>
  <c r="T24" i="358"/>
  <c r="S24" i="358"/>
  <c r="Q24" i="358"/>
  <c r="K24" i="358"/>
  <c r="U23" i="358"/>
  <c r="T23" i="358"/>
  <c r="S23" i="358"/>
  <c r="Q23" i="358"/>
  <c r="K23" i="358"/>
  <c r="U22" i="358"/>
  <c r="T22" i="358"/>
  <c r="Q22" i="358"/>
  <c r="S22" i="358" s="1"/>
  <c r="K22" i="358"/>
  <c r="V21" i="358"/>
  <c r="U21" i="358"/>
  <c r="T21" i="358"/>
  <c r="S21" i="358"/>
  <c r="Q21" i="358"/>
  <c r="K21" i="358"/>
  <c r="U20" i="358"/>
  <c r="T20" i="358"/>
  <c r="Q20" i="358"/>
  <c r="S20" i="358" s="1"/>
  <c r="K20" i="358"/>
  <c r="U19" i="358"/>
  <c r="T19" i="358"/>
  <c r="Q19" i="358"/>
  <c r="S19" i="358" s="1"/>
  <c r="K19" i="358"/>
  <c r="U18" i="358"/>
  <c r="S18" i="358"/>
  <c r="AB99" i="358" s="1"/>
  <c r="Q18" i="358"/>
  <c r="T18" i="358" s="1"/>
  <c r="AB94" i="358" s="1"/>
  <c r="K18" i="358"/>
  <c r="U17" i="358"/>
  <c r="S17" i="358"/>
  <c r="Q17" i="358"/>
  <c r="T17" i="358" s="1"/>
  <c r="K17" i="358"/>
  <c r="U16" i="358"/>
  <c r="T16" i="358"/>
  <c r="V16" i="358" s="1"/>
  <c r="S16" i="358"/>
  <c r="K16" i="358"/>
  <c r="AA15" i="358"/>
  <c r="Z15" i="358"/>
  <c r="U15" i="358"/>
  <c r="T15" i="358"/>
  <c r="Q15" i="358"/>
  <c r="S15" i="358" s="1"/>
  <c r="K15" i="358"/>
  <c r="U14" i="358"/>
  <c r="T14" i="358"/>
  <c r="Q14" i="358"/>
  <c r="S14" i="358" s="1"/>
  <c r="K14" i="358"/>
  <c r="U13" i="358"/>
  <c r="T13" i="358"/>
  <c r="Q13" i="358"/>
  <c r="S13" i="358" s="1"/>
  <c r="K13" i="358"/>
  <c r="AC12" i="358"/>
  <c r="AB12" i="358"/>
  <c r="AA12" i="358"/>
  <c r="U12" i="358"/>
  <c r="T12" i="358"/>
  <c r="Q12" i="358"/>
  <c r="S12" i="358" s="1"/>
  <c r="K12" i="358"/>
  <c r="AA11" i="358"/>
  <c r="U11" i="358"/>
  <c r="T11" i="358"/>
  <c r="Q11" i="358"/>
  <c r="S11" i="358" s="1"/>
  <c r="K11" i="358"/>
  <c r="AB10" i="358"/>
  <c r="AC61" i="358" s="1"/>
  <c r="Z10" i="358"/>
  <c r="AK79" i="358" s="1"/>
  <c r="U10" i="358"/>
  <c r="Q10" i="358"/>
  <c r="S10" i="358" s="1"/>
  <c r="K10" i="358"/>
  <c r="AA9" i="358"/>
  <c r="U9" i="358"/>
  <c r="Q9" i="358"/>
  <c r="T9" i="358" s="1"/>
  <c r="K9" i="358"/>
  <c r="U8" i="358"/>
  <c r="T8" i="358"/>
  <c r="Q8" i="358"/>
  <c r="S8" i="358" s="1"/>
  <c r="K8" i="358"/>
  <c r="Z7" i="358"/>
  <c r="U7" i="358"/>
  <c r="Q7" i="358"/>
  <c r="K7" i="358"/>
  <c r="Z6" i="358"/>
  <c r="U6" i="358"/>
  <c r="T6" i="358"/>
  <c r="Q6" i="358"/>
  <c r="S6" i="358" s="1"/>
  <c r="K6" i="358"/>
  <c r="U5" i="358"/>
  <c r="S5" i="358"/>
  <c r="Q5" i="358"/>
  <c r="T5" i="358" s="1"/>
  <c r="K5" i="358"/>
  <c r="U4" i="358"/>
  <c r="S4" i="358"/>
  <c r="Q4" i="358"/>
  <c r="T4" i="358" s="1"/>
  <c r="K4" i="358"/>
  <c r="AE3" i="358"/>
  <c r="U3" i="358"/>
  <c r="S3" i="358"/>
  <c r="Q3" i="358"/>
  <c r="T3" i="358" s="1"/>
  <c r="K3" i="358"/>
  <c r="U2" i="358"/>
  <c r="T2" i="358"/>
  <c r="Q2" i="358"/>
  <c r="S2" i="358" s="1"/>
  <c r="K2" i="358"/>
  <c r="AE35" i="361" l="1"/>
  <c r="AE37" i="361" s="1"/>
  <c r="V105" i="361"/>
  <c r="AE4" i="361"/>
  <c r="AF4" i="361" s="1"/>
  <c r="Z58" i="361"/>
  <c r="AB78" i="361" s="1"/>
  <c r="W2" i="361"/>
  <c r="AA37" i="361"/>
  <c r="AB37" i="361" s="1"/>
  <c r="AB35" i="361"/>
  <c r="Z3" i="361"/>
  <c r="Z4" i="361"/>
  <c r="Z59" i="361"/>
  <c r="AC5" i="361"/>
  <c r="AE5" i="361" s="1"/>
  <c r="AG3" i="361"/>
  <c r="AA5" i="361"/>
  <c r="AF3" i="361"/>
  <c r="O27" i="361"/>
  <c r="N105" i="361"/>
  <c r="O5" i="361"/>
  <c r="O24" i="361"/>
  <c r="O20" i="361"/>
  <c r="O15" i="361"/>
  <c r="O10" i="361"/>
  <c r="O16" i="361"/>
  <c r="O17" i="361"/>
  <c r="O28" i="361"/>
  <c r="O19" i="361"/>
  <c r="O3" i="361"/>
  <c r="O4" i="361"/>
  <c r="O12" i="361"/>
  <c r="O11" i="361"/>
  <c r="O22" i="361"/>
  <c r="O6" i="361"/>
  <c r="O29" i="361"/>
  <c r="O9" i="361"/>
  <c r="O14" i="361"/>
  <c r="O25" i="361"/>
  <c r="O13" i="361"/>
  <c r="O26" i="361"/>
  <c r="O2" i="361"/>
  <c r="O8" i="361"/>
  <c r="AB80" i="361"/>
  <c r="AD80" i="361" s="1"/>
  <c r="AK77" i="361" s="1"/>
  <c r="AL77" i="361" s="1"/>
  <c r="Z53" i="361"/>
  <c r="AC60" i="361"/>
  <c r="L2" i="361"/>
  <c r="L3" i="361" s="1"/>
  <c r="L4" i="361" s="1"/>
  <c r="L5" i="361" s="1"/>
  <c r="L6" i="361" s="1"/>
  <c r="L7" i="361" s="1"/>
  <c r="L8" i="361" s="1"/>
  <c r="L9" i="361" s="1"/>
  <c r="L10" i="361" s="1"/>
  <c r="L11" i="361" s="1"/>
  <c r="L12" i="361" s="1"/>
  <c r="L13" i="361" s="1"/>
  <c r="L14" i="361" s="1"/>
  <c r="L15" i="361" s="1"/>
  <c r="L16" i="361" s="1"/>
  <c r="L17" i="361" s="1"/>
  <c r="L18" i="361" s="1"/>
  <c r="L19" i="361" s="1"/>
  <c r="L20" i="361" s="1"/>
  <c r="L21" i="361" s="1"/>
  <c r="L22" i="361" s="1"/>
  <c r="L23" i="361" s="1"/>
  <c r="L24" i="361" s="1"/>
  <c r="L25" i="361" s="1"/>
  <c r="L26" i="361" s="1"/>
  <c r="L27" i="361" s="1"/>
  <c r="L28" i="361" s="1"/>
  <c r="L29" i="361" s="1"/>
  <c r="L30" i="361" s="1"/>
  <c r="L31" i="361" s="1"/>
  <c r="L32" i="361" s="1"/>
  <c r="L33" i="361" s="1"/>
  <c r="L34" i="361" s="1"/>
  <c r="L35" i="361" s="1"/>
  <c r="L36" i="361" s="1"/>
  <c r="L37" i="361" s="1"/>
  <c r="L38" i="361" s="1"/>
  <c r="L39" i="361" s="1"/>
  <c r="L40" i="361" s="1"/>
  <c r="L41" i="361" s="1"/>
  <c r="L42" i="361" s="1"/>
  <c r="L43" i="361" s="1"/>
  <c r="L44" i="361" s="1"/>
  <c r="L45" i="361" s="1"/>
  <c r="L46" i="361" s="1"/>
  <c r="L47" i="361" s="1"/>
  <c r="L48" i="361" s="1"/>
  <c r="L49" i="361" s="1"/>
  <c r="L50" i="361" s="1"/>
  <c r="L51" i="361" s="1"/>
  <c r="L52" i="361" s="1"/>
  <c r="L53" i="361" s="1"/>
  <c r="L54" i="361" s="1"/>
  <c r="L55" i="361" s="1"/>
  <c r="L56" i="361" s="1"/>
  <c r="L57" i="361" s="1"/>
  <c r="L58" i="361" s="1"/>
  <c r="L59" i="361" s="1"/>
  <c r="L60" i="361" s="1"/>
  <c r="L61" i="361" s="1"/>
  <c r="L62" i="361" s="1"/>
  <c r="L63" i="361" s="1"/>
  <c r="L64" i="361" s="1"/>
  <c r="L65" i="361" s="1"/>
  <c r="L66" i="361" s="1"/>
  <c r="L67" i="361" s="1"/>
  <c r="L68" i="361" s="1"/>
  <c r="L69" i="361" s="1"/>
  <c r="L70" i="361" s="1"/>
  <c r="L71" i="361" s="1"/>
  <c r="L72" i="361" s="1"/>
  <c r="L73" i="361" s="1"/>
  <c r="L74" i="361" s="1"/>
  <c r="L75" i="361" s="1"/>
  <c r="L76" i="361" s="1"/>
  <c r="L77" i="361" s="1"/>
  <c r="L78" i="361" s="1"/>
  <c r="L79" i="361" s="1"/>
  <c r="L80" i="361" s="1"/>
  <c r="L81" i="361" s="1"/>
  <c r="L82" i="361" s="1"/>
  <c r="L83" i="361" s="1"/>
  <c r="L84" i="361" s="1"/>
  <c r="L85" i="361" s="1"/>
  <c r="L86" i="361" s="1"/>
  <c r="L87" i="361" s="1"/>
  <c r="L88" i="361" s="1"/>
  <c r="L89" i="361" s="1"/>
  <c r="L90" i="361" s="1"/>
  <c r="L91" i="361" s="1"/>
  <c r="L92" i="361" s="1"/>
  <c r="L93" i="361" s="1"/>
  <c r="L94" i="361" s="1"/>
  <c r="L95" i="361" s="1"/>
  <c r="L96" i="361" s="1"/>
  <c r="L97" i="361" s="1"/>
  <c r="L98" i="361" s="1"/>
  <c r="L99" i="361" s="1"/>
  <c r="L100" i="361" s="1"/>
  <c r="L101" i="361" s="1"/>
  <c r="L102" i="361" s="1"/>
  <c r="L103" i="361" s="1"/>
  <c r="L105" i="361" s="1"/>
  <c r="AG4" i="361"/>
  <c r="AH4" i="361" s="1"/>
  <c r="AB78" i="360"/>
  <c r="Z62" i="360"/>
  <c r="AD58" i="360"/>
  <c r="Z61" i="360"/>
  <c r="AB80" i="360"/>
  <c r="AD80" i="360" s="1"/>
  <c r="AK77" i="360" s="1"/>
  <c r="AL77" i="360" s="1"/>
  <c r="AD60" i="360"/>
  <c r="Z53" i="360"/>
  <c r="AA37" i="360"/>
  <c r="AB37" i="360" s="1"/>
  <c r="AB35" i="360"/>
  <c r="Z18" i="360"/>
  <c r="Z24" i="360" s="1"/>
  <c r="W2" i="360" s="1"/>
  <c r="AA3" i="360"/>
  <c r="Z13" i="360"/>
  <c r="AA4" i="360"/>
  <c r="AE5" i="360"/>
  <c r="AB79" i="360"/>
  <c r="AD79" i="360" s="1"/>
  <c r="AK76" i="360" s="1"/>
  <c r="AL76" i="360" s="1"/>
  <c r="AD59" i="360"/>
  <c r="N105" i="359"/>
  <c r="O28" i="359"/>
  <c r="O22" i="359"/>
  <c r="O19" i="359"/>
  <c r="O12" i="359"/>
  <c r="O10" i="359"/>
  <c r="O5" i="359"/>
  <c r="O4" i="359"/>
  <c r="O15" i="359"/>
  <c r="O25" i="359"/>
  <c r="O17" i="359"/>
  <c r="O13" i="359"/>
  <c r="O29" i="359"/>
  <c r="O26" i="359"/>
  <c r="O24" i="359"/>
  <c r="O6" i="359"/>
  <c r="O14" i="359"/>
  <c r="O3" i="359"/>
  <c r="O20" i="359"/>
  <c r="O27" i="359"/>
  <c r="O8" i="359"/>
  <c r="O2" i="359"/>
  <c r="O9" i="359"/>
  <c r="O16" i="359"/>
  <c r="O11" i="359"/>
  <c r="AA37" i="359"/>
  <c r="AB37" i="359" s="1"/>
  <c r="AB35" i="359"/>
  <c r="O7" i="359"/>
  <c r="L2" i="359"/>
  <c r="L3" i="359" s="1"/>
  <c r="L4" i="359" s="1"/>
  <c r="L5" i="359" s="1"/>
  <c r="L6" i="359" s="1"/>
  <c r="L7" i="359" s="1"/>
  <c r="L8" i="359" s="1"/>
  <c r="L9" i="359" s="1"/>
  <c r="L10" i="359" s="1"/>
  <c r="L11" i="359" s="1"/>
  <c r="L12" i="359" s="1"/>
  <c r="L13" i="359" s="1"/>
  <c r="L14" i="359" s="1"/>
  <c r="L15" i="359" s="1"/>
  <c r="L16" i="359" s="1"/>
  <c r="L17" i="359" s="1"/>
  <c r="L18" i="359" s="1"/>
  <c r="L19" i="359" s="1"/>
  <c r="L20" i="359" s="1"/>
  <c r="L21" i="359" s="1"/>
  <c r="L22" i="359" s="1"/>
  <c r="L23" i="359" s="1"/>
  <c r="L24" i="359" s="1"/>
  <c r="L25" i="359" s="1"/>
  <c r="L26" i="359" s="1"/>
  <c r="L27" i="359" s="1"/>
  <c r="L28" i="359" s="1"/>
  <c r="L29" i="359" s="1"/>
  <c r="L30" i="359" s="1"/>
  <c r="L31" i="359" s="1"/>
  <c r="L32" i="359" s="1"/>
  <c r="L33" i="359" s="1"/>
  <c r="L34" i="359" s="1"/>
  <c r="L35" i="359" s="1"/>
  <c r="L36" i="359" s="1"/>
  <c r="L37" i="359" s="1"/>
  <c r="L38" i="359" s="1"/>
  <c r="L39" i="359" s="1"/>
  <c r="L40" i="359" s="1"/>
  <c r="L41" i="359" s="1"/>
  <c r="L42" i="359" s="1"/>
  <c r="L43" i="359" s="1"/>
  <c r="L44" i="359" s="1"/>
  <c r="L45" i="359" s="1"/>
  <c r="L46" i="359" s="1"/>
  <c r="L47" i="359" s="1"/>
  <c r="L48" i="359" s="1"/>
  <c r="L49" i="359" s="1"/>
  <c r="L50" i="359" s="1"/>
  <c r="L51" i="359" s="1"/>
  <c r="L52" i="359" s="1"/>
  <c r="L53" i="359" s="1"/>
  <c r="L54" i="359" s="1"/>
  <c r="L55" i="359" s="1"/>
  <c r="L56" i="359" s="1"/>
  <c r="L57" i="359" s="1"/>
  <c r="L58" i="359" s="1"/>
  <c r="L59" i="359" s="1"/>
  <c r="L60" i="359" s="1"/>
  <c r="L61" i="359" s="1"/>
  <c r="L62" i="359" s="1"/>
  <c r="L63" i="359" s="1"/>
  <c r="L64" i="359" s="1"/>
  <c r="L65" i="359" s="1"/>
  <c r="L66" i="359" s="1"/>
  <c r="L67" i="359" s="1"/>
  <c r="L68" i="359" s="1"/>
  <c r="L69" i="359" s="1"/>
  <c r="L70" i="359" s="1"/>
  <c r="L71" i="359" s="1"/>
  <c r="L72" i="359" s="1"/>
  <c r="L73" i="359" s="1"/>
  <c r="L74" i="359" s="1"/>
  <c r="L75" i="359" s="1"/>
  <c r="L76" i="359" s="1"/>
  <c r="L77" i="359" s="1"/>
  <c r="L78" i="359" s="1"/>
  <c r="L79" i="359" s="1"/>
  <c r="L80" i="359" s="1"/>
  <c r="L81" i="359" s="1"/>
  <c r="L82" i="359" s="1"/>
  <c r="L83" i="359" s="1"/>
  <c r="L84" i="359" s="1"/>
  <c r="L85" i="359" s="1"/>
  <c r="L86" i="359" s="1"/>
  <c r="L87" i="359" s="1"/>
  <c r="L88" i="359" s="1"/>
  <c r="L89" i="359" s="1"/>
  <c r="L90" i="359" s="1"/>
  <c r="L91" i="359" s="1"/>
  <c r="L92" i="359" s="1"/>
  <c r="L93" i="359" s="1"/>
  <c r="L94" i="359" s="1"/>
  <c r="L95" i="359" s="1"/>
  <c r="L96" i="359" s="1"/>
  <c r="L97" i="359" s="1"/>
  <c r="L98" i="359" s="1"/>
  <c r="L99" i="359" s="1"/>
  <c r="L100" i="359" s="1"/>
  <c r="L101" i="359" s="1"/>
  <c r="L102" i="359" s="1"/>
  <c r="L103" i="359" s="1"/>
  <c r="L105" i="359" s="1"/>
  <c r="AF4" i="359"/>
  <c r="AG4" i="359"/>
  <c r="AH4" i="359" s="1"/>
  <c r="AB80" i="359"/>
  <c r="AD80" i="359" s="1"/>
  <c r="AK77" i="359" s="1"/>
  <c r="AL77" i="359" s="1"/>
  <c r="Z53" i="359"/>
  <c r="AD60" i="359"/>
  <c r="Z3" i="359"/>
  <c r="Z4" i="359"/>
  <c r="AG3" i="359"/>
  <c r="AA5" i="359"/>
  <c r="AF3" i="359"/>
  <c r="Z59" i="359"/>
  <c r="AC5" i="359"/>
  <c r="AE5" i="359" s="1"/>
  <c r="X2" i="359"/>
  <c r="W3" i="359"/>
  <c r="V105" i="359"/>
  <c r="AB78" i="359"/>
  <c r="Z61" i="359"/>
  <c r="AB17" i="359" s="1"/>
  <c r="AD58" i="359"/>
  <c r="Z62" i="359"/>
  <c r="V49" i="358"/>
  <c r="V38" i="358"/>
  <c r="V41" i="358"/>
  <c r="V37" i="358"/>
  <c r="V44" i="358"/>
  <c r="V45" i="358"/>
  <c r="V54" i="358"/>
  <c r="V31" i="358"/>
  <c r="V35" i="358"/>
  <c r="V53" i="358"/>
  <c r="V55" i="358"/>
  <c r="V33" i="358"/>
  <c r="V50" i="358"/>
  <c r="V56" i="358"/>
  <c r="S9" i="358"/>
  <c r="V20" i="358"/>
  <c r="V29" i="358"/>
  <c r="V22" i="358"/>
  <c r="V28" i="358"/>
  <c r="V4" i="358"/>
  <c r="V27" i="358"/>
  <c r="V12" i="358"/>
  <c r="V14" i="358"/>
  <c r="V15" i="358"/>
  <c r="V5" i="358"/>
  <c r="V8" i="358"/>
  <c r="T10" i="358"/>
  <c r="V10" i="358" s="1"/>
  <c r="V24" i="358"/>
  <c r="V25" i="358"/>
  <c r="AA10" i="358"/>
  <c r="AB102" i="358"/>
  <c r="V26" i="358"/>
  <c r="V17" i="358"/>
  <c r="N27" i="358"/>
  <c r="O54" i="358" s="1"/>
  <c r="O65" i="358"/>
  <c r="O75" i="358"/>
  <c r="O68" i="358"/>
  <c r="O58" i="358"/>
  <c r="O78" i="358"/>
  <c r="O72" i="358"/>
  <c r="V3" i="358"/>
  <c r="H105" i="358"/>
  <c r="H107" i="358" s="1"/>
  <c r="AA97" i="358"/>
  <c r="AA42" i="358"/>
  <c r="V9" i="358"/>
  <c r="Z14" i="358"/>
  <c r="O57" i="358"/>
  <c r="O60" i="358"/>
  <c r="O61" i="358"/>
  <c r="O79" i="358"/>
  <c r="U105" i="358"/>
  <c r="AD4" i="358" s="1"/>
  <c r="I105" i="358"/>
  <c r="AA92" i="358"/>
  <c r="AB42" i="358"/>
  <c r="T7" i="358"/>
  <c r="AB92" i="358" s="1"/>
  <c r="S7" i="358"/>
  <c r="AB97" i="358" s="1"/>
  <c r="V11" i="358"/>
  <c r="AA69" i="358"/>
  <c r="Z16" i="358"/>
  <c r="AA16" i="358" s="1"/>
  <c r="AB98" i="358"/>
  <c r="V18" i="358"/>
  <c r="V19" i="358"/>
  <c r="V23" i="358"/>
  <c r="V32" i="358"/>
  <c r="AB100" i="358"/>
  <c r="AC35" i="358"/>
  <c r="AD34" i="358"/>
  <c r="AE34" i="358" s="1"/>
  <c r="AC36" i="358"/>
  <c r="Z37" i="358"/>
  <c r="V47" i="358"/>
  <c r="O64" i="358"/>
  <c r="O70" i="358"/>
  <c r="K105" i="358"/>
  <c r="K108" i="358" s="1"/>
  <c r="K110" i="358" s="1"/>
  <c r="N2" i="358"/>
  <c r="O2" i="358" s="1"/>
  <c r="R54" i="358"/>
  <c r="N50" i="358"/>
  <c r="Q105" i="358"/>
  <c r="V2" i="358"/>
  <c r="V6" i="358"/>
  <c r="V13" i="358"/>
  <c r="AB93" i="358"/>
  <c r="V30" i="358"/>
  <c r="V43" i="358"/>
  <c r="R50" i="358"/>
  <c r="R105" i="358" s="1"/>
  <c r="O59" i="358"/>
  <c r="V60" i="358"/>
  <c r="O62" i="358"/>
  <c r="O71" i="358"/>
  <c r="O73" i="358"/>
  <c r="O74" i="358"/>
  <c r="O76" i="358"/>
  <c r="O90" i="358"/>
  <c r="Y55" i="358"/>
  <c r="Z72" i="358"/>
  <c r="V42" i="358"/>
  <c r="AI59" i="358"/>
  <c r="AJ59" i="358" s="1"/>
  <c r="AA62" i="358"/>
  <c r="O63" i="358"/>
  <c r="V66" i="358"/>
  <c r="O67" i="358"/>
  <c r="O80" i="358"/>
  <c r="V87" i="358"/>
  <c r="V34" i="358"/>
  <c r="AB36" i="358"/>
  <c r="V46" i="358"/>
  <c r="V62" i="358"/>
  <c r="O66" i="358"/>
  <c r="V70" i="358"/>
  <c r="V79" i="358"/>
  <c r="N94" i="358"/>
  <c r="V99" i="358"/>
  <c r="AA61" i="358"/>
  <c r="O69" i="358"/>
  <c r="V72" i="358"/>
  <c r="O77" i="358"/>
  <c r="V78" i="358"/>
  <c r="AC78" i="358"/>
  <c r="AC81" i="358" s="1"/>
  <c r="V84" i="358"/>
  <c r="X84" i="358" s="1"/>
  <c r="N85" i="358"/>
  <c r="O89" i="358" s="1"/>
  <c r="N81" i="358"/>
  <c r="O88" i="358"/>
  <c r="V92" i="358"/>
  <c r="V98" i="358"/>
  <c r="Z5" i="361" l="1"/>
  <c r="X2" i="361"/>
  <c r="Z61" i="361"/>
  <c r="AB17" i="361" s="1"/>
  <c r="AC58" i="361"/>
  <c r="AE78" i="361" s="1"/>
  <c r="W3" i="361"/>
  <c r="W4" i="361" s="1"/>
  <c r="Z62" i="361"/>
  <c r="AG5" i="361"/>
  <c r="AF56" i="361"/>
  <c r="AG56" i="361" s="1"/>
  <c r="AH56" i="361" s="1"/>
  <c r="AD78" i="361"/>
  <c r="AL55" i="361"/>
  <c r="AE60" i="361"/>
  <c r="AE80" i="361"/>
  <c r="AF80" i="361" s="1"/>
  <c r="AF5" i="361"/>
  <c r="AB79" i="361"/>
  <c r="AD79" i="361" s="1"/>
  <c r="AK76" i="361" s="1"/>
  <c r="AL76" i="361" s="1"/>
  <c r="AC59" i="361"/>
  <c r="AF58" i="360"/>
  <c r="AD62" i="360"/>
  <c r="AD61" i="360"/>
  <c r="AE61" i="360" s="1"/>
  <c r="AH58" i="360"/>
  <c r="AK51" i="360"/>
  <c r="AL51" i="360" s="1"/>
  <c r="AJ51" i="360" s="1"/>
  <c r="AE78" i="360"/>
  <c r="AL53" i="360"/>
  <c r="AG4" i="360"/>
  <c r="AH4" i="360" s="1"/>
  <c r="L2" i="360"/>
  <c r="L3" i="360" s="1"/>
  <c r="L4" i="360" s="1"/>
  <c r="L5" i="360" s="1"/>
  <c r="L6" i="360" s="1"/>
  <c r="L7" i="360" s="1"/>
  <c r="L8" i="360" s="1"/>
  <c r="L9" i="360" s="1"/>
  <c r="L10" i="360" s="1"/>
  <c r="L11" i="360" s="1"/>
  <c r="L12" i="360" s="1"/>
  <c r="L13" i="360" s="1"/>
  <c r="L14" i="360" s="1"/>
  <c r="L15" i="360" s="1"/>
  <c r="L16" i="360" s="1"/>
  <c r="L17" i="360" s="1"/>
  <c r="L18" i="360" s="1"/>
  <c r="L19" i="360" s="1"/>
  <c r="L20" i="360" s="1"/>
  <c r="L21" i="360" s="1"/>
  <c r="L22" i="360" s="1"/>
  <c r="L23" i="360" s="1"/>
  <c r="L24" i="360" s="1"/>
  <c r="L25" i="360" s="1"/>
  <c r="L26" i="360" s="1"/>
  <c r="L27" i="360" s="1"/>
  <c r="L28" i="360" s="1"/>
  <c r="L29" i="360" s="1"/>
  <c r="L30" i="360" s="1"/>
  <c r="L31" i="360" s="1"/>
  <c r="L32" i="360" s="1"/>
  <c r="L33" i="360" s="1"/>
  <c r="L34" i="360" s="1"/>
  <c r="L35" i="360" s="1"/>
  <c r="L36" i="360" s="1"/>
  <c r="L37" i="360" s="1"/>
  <c r="L38" i="360" s="1"/>
  <c r="L39" i="360" s="1"/>
  <c r="L40" i="360" s="1"/>
  <c r="L41" i="360" s="1"/>
  <c r="L42" i="360" s="1"/>
  <c r="L43" i="360" s="1"/>
  <c r="L44" i="360" s="1"/>
  <c r="L45" i="360" s="1"/>
  <c r="L46" i="360" s="1"/>
  <c r="L47" i="360" s="1"/>
  <c r="L48" i="360" s="1"/>
  <c r="L49" i="360" s="1"/>
  <c r="L50" i="360" s="1"/>
  <c r="L51" i="360" s="1"/>
  <c r="L52" i="360" s="1"/>
  <c r="L53" i="360" s="1"/>
  <c r="L54" i="360" s="1"/>
  <c r="L55" i="360" s="1"/>
  <c r="L56" i="360" s="1"/>
  <c r="L57" i="360" s="1"/>
  <c r="L58" i="360" s="1"/>
  <c r="L59" i="360" s="1"/>
  <c r="L60" i="360" s="1"/>
  <c r="L61" i="360" s="1"/>
  <c r="L62" i="360" s="1"/>
  <c r="L63" i="360" s="1"/>
  <c r="L64" i="360" s="1"/>
  <c r="L65" i="360" s="1"/>
  <c r="L66" i="360" s="1"/>
  <c r="L67" i="360" s="1"/>
  <c r="L68" i="360" s="1"/>
  <c r="L69" i="360" s="1"/>
  <c r="L70" i="360" s="1"/>
  <c r="L71" i="360" s="1"/>
  <c r="L72" i="360" s="1"/>
  <c r="L73" i="360" s="1"/>
  <c r="L74" i="360" s="1"/>
  <c r="L75" i="360" s="1"/>
  <c r="L76" i="360" s="1"/>
  <c r="L77" i="360" s="1"/>
  <c r="L78" i="360" s="1"/>
  <c r="L79" i="360" s="1"/>
  <c r="L80" i="360" s="1"/>
  <c r="L81" i="360" s="1"/>
  <c r="L82" i="360" s="1"/>
  <c r="L83" i="360" s="1"/>
  <c r="L84" i="360" s="1"/>
  <c r="L85" i="360" s="1"/>
  <c r="L86" i="360" s="1"/>
  <c r="L87" i="360" s="1"/>
  <c r="L88" i="360" s="1"/>
  <c r="L89" i="360" s="1"/>
  <c r="L90" i="360" s="1"/>
  <c r="L91" i="360" s="1"/>
  <c r="L92" i="360" s="1"/>
  <c r="L93" i="360" s="1"/>
  <c r="L94" i="360" s="1"/>
  <c r="L95" i="360" s="1"/>
  <c r="L96" i="360" s="1"/>
  <c r="L97" i="360" s="1"/>
  <c r="L98" i="360" s="1"/>
  <c r="L99" i="360" s="1"/>
  <c r="L100" i="360" s="1"/>
  <c r="L101" i="360" s="1"/>
  <c r="L102" i="360" s="1"/>
  <c r="L103" i="360" s="1"/>
  <c r="L105" i="360" s="1"/>
  <c r="AF4" i="360"/>
  <c r="AE80" i="360"/>
  <c r="AF80" i="360" s="1"/>
  <c r="AF60" i="360"/>
  <c r="AL55" i="360"/>
  <c r="AF59" i="360"/>
  <c r="AK56" i="360"/>
  <c r="AL54" i="360"/>
  <c r="AE79" i="360"/>
  <c r="AF79" i="360" s="1"/>
  <c r="AK54" i="360"/>
  <c r="AK55" i="360" s="1"/>
  <c r="Z4" i="360"/>
  <c r="Z3" i="360"/>
  <c r="Z5" i="360" s="1"/>
  <c r="AD78" i="360"/>
  <c r="AB81" i="360"/>
  <c r="AA5" i="360"/>
  <c r="AF3" i="360"/>
  <c r="AF5" i="360" s="1"/>
  <c r="AG3" i="360"/>
  <c r="AB17" i="360"/>
  <c r="W3" i="360"/>
  <c r="X2" i="360"/>
  <c r="AE78" i="359"/>
  <c r="AL53" i="359"/>
  <c r="AK51" i="359"/>
  <c r="AL51" i="359" s="1"/>
  <c r="AJ51" i="359" s="1"/>
  <c r="AF58" i="359"/>
  <c r="AH58" i="359"/>
  <c r="W4" i="359"/>
  <c r="X3" i="359"/>
  <c r="AF5" i="359"/>
  <c r="Z5" i="359"/>
  <c r="AD78" i="359"/>
  <c r="AF56" i="359"/>
  <c r="AG56" i="359" s="1"/>
  <c r="AH56" i="359" s="1"/>
  <c r="AG5" i="359"/>
  <c r="AE80" i="359"/>
  <c r="AF80" i="359" s="1"/>
  <c r="AF60" i="359"/>
  <c r="AL55" i="359"/>
  <c r="AB79" i="359"/>
  <c r="AD79" i="359" s="1"/>
  <c r="AK76" i="359" s="1"/>
  <c r="AL76" i="359" s="1"/>
  <c r="AD59" i="359"/>
  <c r="AD61" i="359" s="1"/>
  <c r="AE61" i="359" s="1"/>
  <c r="O43" i="358"/>
  <c r="AB95" i="358"/>
  <c r="T105" i="358"/>
  <c r="AB4" i="358" s="1"/>
  <c r="AB5" i="358" s="1"/>
  <c r="V7" i="358"/>
  <c r="V105" i="358" s="1"/>
  <c r="O83" i="358"/>
  <c r="O84" i="358"/>
  <c r="O41" i="358"/>
  <c r="O45" i="358"/>
  <c r="O37" i="358"/>
  <c r="O35" i="358"/>
  <c r="O50" i="358"/>
  <c r="O33" i="358"/>
  <c r="O49" i="358"/>
  <c r="O46" i="358"/>
  <c r="O42" i="358"/>
  <c r="O38" i="358"/>
  <c r="O36" i="358"/>
  <c r="O56" i="358"/>
  <c r="O31" i="358"/>
  <c r="O30" i="358"/>
  <c r="O47" i="358"/>
  <c r="O34" i="358"/>
  <c r="O81" i="358"/>
  <c r="O55" i="358"/>
  <c r="O25" i="358"/>
  <c r="O27" i="358"/>
  <c r="O13" i="358"/>
  <c r="O53" i="358"/>
  <c r="O8" i="358"/>
  <c r="O24" i="358"/>
  <c r="O17" i="358"/>
  <c r="O103" i="358"/>
  <c r="O101" i="358"/>
  <c r="O97" i="358"/>
  <c r="O95" i="358"/>
  <c r="O98" i="358"/>
  <c r="O96" i="358"/>
  <c r="O102" i="358"/>
  <c r="O100" i="358"/>
  <c r="O99" i="358"/>
  <c r="O94" i="358"/>
  <c r="O82" i="358"/>
  <c r="O32" i="358"/>
  <c r="N105" i="358"/>
  <c r="O15" i="358"/>
  <c r="O14" i="358"/>
  <c r="O9" i="358"/>
  <c r="O5" i="358"/>
  <c r="O3" i="358"/>
  <c r="O20" i="358"/>
  <c r="O7" i="358"/>
  <c r="O4" i="358"/>
  <c r="O28" i="358"/>
  <c r="O26" i="358"/>
  <c r="O22" i="358"/>
  <c r="O12" i="358"/>
  <c r="O10" i="358"/>
  <c r="O11" i="358"/>
  <c r="AD36" i="358"/>
  <c r="AD35" i="358"/>
  <c r="AC42" i="358"/>
  <c r="O6" i="358"/>
  <c r="O86" i="358"/>
  <c r="O85" i="358"/>
  <c r="O87" i="358"/>
  <c r="O91" i="358"/>
  <c r="O92" i="358"/>
  <c r="O93" i="358"/>
  <c r="O39" i="358"/>
  <c r="O44" i="358"/>
  <c r="O19" i="358"/>
  <c r="AE36" i="358"/>
  <c r="AC37" i="358"/>
  <c r="AE35" i="358"/>
  <c r="AE37" i="358" s="1"/>
  <c r="Z60" i="358"/>
  <c r="AA35" i="358"/>
  <c r="AD5" i="358"/>
  <c r="AA34" i="358" s="1"/>
  <c r="AB34" i="358" s="1"/>
  <c r="Z18" i="358"/>
  <c r="Z24" i="358" s="1"/>
  <c r="W2" i="358" s="1"/>
  <c r="AA3" i="358"/>
  <c r="Z13" i="358"/>
  <c r="AA4" i="358"/>
  <c r="O29" i="358"/>
  <c r="S105" i="358"/>
  <c r="AC4" i="358" s="1"/>
  <c r="O16" i="358"/>
  <c r="AK53" i="357"/>
  <c r="Z8" i="357"/>
  <c r="U123" i="357"/>
  <c r="I113" i="357"/>
  <c r="P105" i="357"/>
  <c r="M105" i="357"/>
  <c r="J105" i="357"/>
  <c r="U103" i="357"/>
  <c r="T103" i="357"/>
  <c r="S103" i="357"/>
  <c r="V103" i="357" s="1"/>
  <c r="Q103" i="357"/>
  <c r="K103" i="357"/>
  <c r="AA102" i="357"/>
  <c r="U102" i="357"/>
  <c r="T102" i="357"/>
  <c r="S102" i="357"/>
  <c r="Q102" i="357"/>
  <c r="K102" i="357"/>
  <c r="U101" i="357"/>
  <c r="T101" i="357"/>
  <c r="S101" i="357"/>
  <c r="V101" i="357" s="1"/>
  <c r="Q101" i="357"/>
  <c r="K101" i="357"/>
  <c r="AA100" i="357"/>
  <c r="U100" i="357"/>
  <c r="T100" i="357"/>
  <c r="S100" i="357"/>
  <c r="Q100" i="357"/>
  <c r="K100" i="357"/>
  <c r="AA99" i="357"/>
  <c r="U99" i="357"/>
  <c r="T99" i="357"/>
  <c r="S99" i="357"/>
  <c r="Q99" i="357"/>
  <c r="K99" i="357"/>
  <c r="AA98" i="357"/>
  <c r="U98" i="357"/>
  <c r="V98" i="357" s="1"/>
  <c r="T98" i="357"/>
  <c r="S98" i="357"/>
  <c r="Q98" i="357"/>
  <c r="K98" i="357"/>
  <c r="U97" i="357"/>
  <c r="T97" i="357"/>
  <c r="S97" i="357"/>
  <c r="Q97" i="357"/>
  <c r="K97" i="357"/>
  <c r="U96" i="357"/>
  <c r="T96" i="357"/>
  <c r="S96" i="357"/>
  <c r="Q96" i="357"/>
  <c r="K96" i="357"/>
  <c r="AA95" i="357"/>
  <c r="U95" i="357"/>
  <c r="T95" i="357"/>
  <c r="S95" i="357"/>
  <c r="Q95" i="357"/>
  <c r="K95" i="357"/>
  <c r="AA94" i="357"/>
  <c r="U94" i="357"/>
  <c r="T94" i="357"/>
  <c r="S94" i="357"/>
  <c r="Q94" i="357"/>
  <c r="K94" i="357"/>
  <c r="AA93" i="357"/>
  <c r="U93" i="357"/>
  <c r="T93" i="357"/>
  <c r="S93" i="357"/>
  <c r="Q93" i="357"/>
  <c r="K93" i="357"/>
  <c r="U92" i="357"/>
  <c r="T92" i="357"/>
  <c r="S92" i="357"/>
  <c r="Q92" i="357"/>
  <c r="K92" i="357"/>
  <c r="U91" i="357"/>
  <c r="T91" i="357"/>
  <c r="S91" i="357"/>
  <c r="Q91" i="357"/>
  <c r="K91" i="357"/>
  <c r="U90" i="357"/>
  <c r="T90" i="357"/>
  <c r="S90" i="357"/>
  <c r="Q90" i="357"/>
  <c r="K90" i="357"/>
  <c r="U89" i="357"/>
  <c r="T89" i="357"/>
  <c r="S89" i="357"/>
  <c r="Q89" i="357"/>
  <c r="K89" i="357"/>
  <c r="U88" i="357"/>
  <c r="T88" i="357"/>
  <c r="S88" i="357"/>
  <c r="Q88" i="357"/>
  <c r="K88" i="357"/>
  <c r="AE87" i="357"/>
  <c r="AA87" i="357"/>
  <c r="Y87" i="357"/>
  <c r="U87" i="357"/>
  <c r="T87" i="357"/>
  <c r="S87" i="357"/>
  <c r="V87" i="357" s="1"/>
  <c r="Q87" i="357"/>
  <c r="K87" i="357"/>
  <c r="AF86" i="357"/>
  <c r="AG86" i="357" s="1"/>
  <c r="AH86" i="357" s="1"/>
  <c r="AH87" i="357" s="1"/>
  <c r="AH88" i="357" s="1"/>
  <c r="U86" i="357"/>
  <c r="T86" i="357"/>
  <c r="S86" i="357"/>
  <c r="Q86" i="357"/>
  <c r="K86" i="357"/>
  <c r="U85" i="357"/>
  <c r="T85" i="357"/>
  <c r="S85" i="357"/>
  <c r="Q85" i="357"/>
  <c r="K85" i="357"/>
  <c r="U84" i="357"/>
  <c r="T84" i="357"/>
  <c r="S84" i="357"/>
  <c r="V84" i="357" s="1"/>
  <c r="X84" i="357" s="1"/>
  <c r="Q84" i="357"/>
  <c r="K84" i="357"/>
  <c r="U83" i="357"/>
  <c r="T83" i="357"/>
  <c r="S83" i="357"/>
  <c r="Q83" i="357"/>
  <c r="K83" i="357"/>
  <c r="U82" i="357"/>
  <c r="V82" i="357" s="1"/>
  <c r="T82" i="357"/>
  <c r="S82" i="357"/>
  <c r="Q82" i="357"/>
  <c r="K82" i="357"/>
  <c r="AA81" i="357"/>
  <c r="AA86" i="357" s="1"/>
  <c r="AB86" i="357" s="1"/>
  <c r="AC86" i="357" s="1"/>
  <c r="AD86" i="357" s="1"/>
  <c r="AD87" i="357" s="1"/>
  <c r="AD88" i="357" s="1"/>
  <c r="Z81" i="357"/>
  <c r="U81" i="357"/>
  <c r="T81" i="357"/>
  <c r="S81" i="357"/>
  <c r="Q81" i="357"/>
  <c r="K81" i="357"/>
  <c r="AI80" i="357"/>
  <c r="U80" i="357"/>
  <c r="T80" i="357"/>
  <c r="S80" i="357"/>
  <c r="V80" i="357" s="1"/>
  <c r="Q80" i="357"/>
  <c r="K80" i="357"/>
  <c r="AI79" i="357"/>
  <c r="U79" i="357"/>
  <c r="T79" i="357"/>
  <c r="S79" i="357"/>
  <c r="Q79" i="357"/>
  <c r="K79" i="357"/>
  <c r="AI78" i="357"/>
  <c r="U78" i="357"/>
  <c r="T78" i="357"/>
  <c r="S78" i="357"/>
  <c r="Q78" i="357"/>
  <c r="K78" i="357"/>
  <c r="U77" i="357"/>
  <c r="T77" i="357"/>
  <c r="S77" i="357"/>
  <c r="Q77" i="357"/>
  <c r="K77" i="357"/>
  <c r="U76" i="357"/>
  <c r="T76" i="357"/>
  <c r="S76" i="357"/>
  <c r="Q76" i="357"/>
  <c r="K76" i="357"/>
  <c r="U75" i="357"/>
  <c r="T75" i="357"/>
  <c r="S75" i="357"/>
  <c r="Q75" i="357"/>
  <c r="K75" i="357"/>
  <c r="U74" i="357"/>
  <c r="T74" i="357"/>
  <c r="S74" i="357"/>
  <c r="V74" i="357" s="1"/>
  <c r="Q74" i="357"/>
  <c r="K74" i="357"/>
  <c r="AD73" i="357"/>
  <c r="Z73" i="357"/>
  <c r="U73" i="357"/>
  <c r="T73" i="357"/>
  <c r="S73" i="357"/>
  <c r="Q73" i="357"/>
  <c r="K73" i="357"/>
  <c r="U72" i="357"/>
  <c r="T72" i="357"/>
  <c r="S72" i="357"/>
  <c r="V72" i="357" s="1"/>
  <c r="Q72" i="357"/>
  <c r="K72" i="357"/>
  <c r="U71" i="357"/>
  <c r="T71" i="357"/>
  <c r="S71" i="357"/>
  <c r="Q71" i="357"/>
  <c r="K71" i="357"/>
  <c r="U70" i="357"/>
  <c r="T70" i="357"/>
  <c r="S70" i="357"/>
  <c r="Q70" i="357"/>
  <c r="K70" i="357"/>
  <c r="U69" i="357"/>
  <c r="T69" i="357"/>
  <c r="S69" i="357"/>
  <c r="V69" i="357" s="1"/>
  <c r="Q69" i="357"/>
  <c r="K69" i="357"/>
  <c r="U68" i="357"/>
  <c r="T68" i="357"/>
  <c r="S68" i="357"/>
  <c r="V68" i="357" s="1"/>
  <c r="Q68" i="357"/>
  <c r="K68" i="357"/>
  <c r="AA67" i="357"/>
  <c r="U67" i="357"/>
  <c r="T67" i="357"/>
  <c r="S67" i="357"/>
  <c r="Q67" i="357"/>
  <c r="K67" i="357"/>
  <c r="U66" i="357"/>
  <c r="T66" i="357"/>
  <c r="S66" i="357"/>
  <c r="V66" i="357" s="1"/>
  <c r="Q66" i="357"/>
  <c r="K66" i="357"/>
  <c r="U65" i="357"/>
  <c r="T65" i="357"/>
  <c r="S65" i="357"/>
  <c r="V65" i="357" s="1"/>
  <c r="Q65" i="357"/>
  <c r="K65" i="357"/>
  <c r="U64" i="357"/>
  <c r="T64" i="357"/>
  <c r="S64" i="357"/>
  <c r="Q64" i="357"/>
  <c r="K64" i="357"/>
  <c r="U63" i="357"/>
  <c r="T63" i="357"/>
  <c r="S63" i="357"/>
  <c r="Q63" i="357"/>
  <c r="K63" i="357"/>
  <c r="AC62" i="357"/>
  <c r="U62" i="357"/>
  <c r="T62" i="357"/>
  <c r="S62" i="357"/>
  <c r="Q62" i="357"/>
  <c r="K62" i="357"/>
  <c r="U61" i="357"/>
  <c r="T61" i="357"/>
  <c r="S61" i="357"/>
  <c r="Q61" i="357"/>
  <c r="K61" i="357"/>
  <c r="AA60" i="357"/>
  <c r="AB47" i="357" s="1"/>
  <c r="U60" i="357"/>
  <c r="T60" i="357"/>
  <c r="S60" i="357"/>
  <c r="Q60" i="357"/>
  <c r="K60" i="357"/>
  <c r="AB59" i="357"/>
  <c r="AA59" i="357"/>
  <c r="AC79" i="357" s="1"/>
  <c r="U59" i="357"/>
  <c r="T59" i="357"/>
  <c r="S59" i="357"/>
  <c r="Q59" i="357"/>
  <c r="K59" i="357"/>
  <c r="AM58" i="357"/>
  <c r="AB58" i="357"/>
  <c r="AA58" i="357"/>
  <c r="V58" i="357"/>
  <c r="U58" i="357"/>
  <c r="T58" i="357"/>
  <c r="S58" i="357"/>
  <c r="Q58" i="357"/>
  <c r="K58" i="357"/>
  <c r="U57" i="357"/>
  <c r="T57" i="357"/>
  <c r="S57" i="357"/>
  <c r="V57" i="357" s="1"/>
  <c r="Q57" i="357"/>
  <c r="K57" i="357"/>
  <c r="U56" i="357"/>
  <c r="T56" i="357"/>
  <c r="S56" i="357"/>
  <c r="Q56" i="357"/>
  <c r="K56" i="357"/>
  <c r="U55" i="357"/>
  <c r="T55" i="357"/>
  <c r="S55" i="357"/>
  <c r="Q55" i="357"/>
  <c r="K55" i="357"/>
  <c r="U54" i="357"/>
  <c r="T54" i="357"/>
  <c r="S54" i="357"/>
  <c r="V54" i="357" s="1"/>
  <c r="Q54" i="357"/>
  <c r="K54" i="357"/>
  <c r="Y53" i="357"/>
  <c r="U53" i="357"/>
  <c r="T53" i="357"/>
  <c r="Q53" i="357"/>
  <c r="S53" i="357" s="1"/>
  <c r="K53" i="357"/>
  <c r="U52" i="357"/>
  <c r="T52" i="357"/>
  <c r="S52" i="357"/>
  <c r="Q52" i="357"/>
  <c r="K52" i="357"/>
  <c r="Y51" i="357"/>
  <c r="U51" i="357"/>
  <c r="T51" i="357"/>
  <c r="S51" i="357"/>
  <c r="V51" i="357" s="1"/>
  <c r="Q51" i="357"/>
  <c r="K51" i="357"/>
  <c r="AB50" i="357"/>
  <c r="U50" i="357"/>
  <c r="V50" i="357" s="1"/>
  <c r="T50" i="357"/>
  <c r="S50" i="357"/>
  <c r="Q50" i="357"/>
  <c r="K50" i="357"/>
  <c r="Y49" i="357"/>
  <c r="Z49" i="357" s="1"/>
  <c r="U49" i="357"/>
  <c r="T49" i="357"/>
  <c r="S49" i="357"/>
  <c r="Q49" i="357"/>
  <c r="K49" i="357"/>
  <c r="Y48" i="357"/>
  <c r="Z48" i="357" s="1"/>
  <c r="U48" i="357"/>
  <c r="T48" i="357"/>
  <c r="S48" i="357"/>
  <c r="Q48" i="357"/>
  <c r="K48" i="357"/>
  <c r="U47" i="357"/>
  <c r="T47" i="357"/>
  <c r="S47" i="357"/>
  <c r="Q47" i="357"/>
  <c r="K47" i="357"/>
  <c r="U46" i="357"/>
  <c r="T46" i="357"/>
  <c r="Q46" i="357"/>
  <c r="S46" i="357" s="1"/>
  <c r="K46" i="357"/>
  <c r="AB45" i="357"/>
  <c r="AA45" i="357"/>
  <c r="U45" i="357"/>
  <c r="T45" i="357"/>
  <c r="S45" i="357"/>
  <c r="Q45" i="357"/>
  <c r="K45" i="357"/>
  <c r="AB44" i="357"/>
  <c r="AA44" i="357"/>
  <c r="U44" i="357"/>
  <c r="T44" i="357"/>
  <c r="S44" i="357"/>
  <c r="Q44" i="357"/>
  <c r="K44" i="357"/>
  <c r="AB43" i="357"/>
  <c r="AA43" i="357"/>
  <c r="U43" i="357"/>
  <c r="T43" i="357"/>
  <c r="S43" i="357"/>
  <c r="Q43" i="357"/>
  <c r="K43" i="357"/>
  <c r="AB42" i="357"/>
  <c r="U42" i="357"/>
  <c r="T42" i="357"/>
  <c r="Q42" i="357"/>
  <c r="S42" i="357" s="1"/>
  <c r="V42" i="357" s="1"/>
  <c r="K42" i="357"/>
  <c r="U41" i="357"/>
  <c r="T41" i="357"/>
  <c r="Q41" i="357"/>
  <c r="S41" i="357" s="1"/>
  <c r="K41" i="357"/>
  <c r="U40" i="357"/>
  <c r="T40" i="357"/>
  <c r="S40" i="357"/>
  <c r="K40" i="357"/>
  <c r="U39" i="357"/>
  <c r="T39" i="357"/>
  <c r="S39" i="357"/>
  <c r="V39" i="357" s="1"/>
  <c r="Q39" i="357"/>
  <c r="K39" i="357"/>
  <c r="U38" i="357"/>
  <c r="T38" i="357"/>
  <c r="S38" i="357"/>
  <c r="V38" i="357" s="1"/>
  <c r="Q38" i="357"/>
  <c r="K38" i="357"/>
  <c r="U37" i="357"/>
  <c r="T37" i="357"/>
  <c r="S37" i="357"/>
  <c r="Q37" i="357"/>
  <c r="K37" i="357"/>
  <c r="AC36" i="357"/>
  <c r="Z36" i="357"/>
  <c r="AA36" i="357" s="1"/>
  <c r="U36" i="357"/>
  <c r="T36" i="357"/>
  <c r="S36" i="357"/>
  <c r="Q36" i="357"/>
  <c r="K36" i="357"/>
  <c r="Z35" i="357"/>
  <c r="Z37" i="357" s="1"/>
  <c r="U35" i="357"/>
  <c r="T35" i="357"/>
  <c r="S35" i="357"/>
  <c r="Q35" i="357"/>
  <c r="K35" i="357"/>
  <c r="AC34" i="357"/>
  <c r="AC35" i="357" s="1"/>
  <c r="U34" i="357"/>
  <c r="T34" i="357"/>
  <c r="S34" i="357"/>
  <c r="Q34" i="357"/>
  <c r="K34" i="357"/>
  <c r="U33" i="357"/>
  <c r="T33" i="357"/>
  <c r="S33" i="357"/>
  <c r="Q33" i="357"/>
  <c r="K33" i="357"/>
  <c r="U32" i="357"/>
  <c r="T32" i="357"/>
  <c r="S32" i="357"/>
  <c r="V32" i="357" s="1"/>
  <c r="Q32" i="357"/>
  <c r="K32" i="357"/>
  <c r="U31" i="357"/>
  <c r="T31" i="357"/>
  <c r="S31" i="357"/>
  <c r="Q31" i="357"/>
  <c r="K31" i="357"/>
  <c r="Z30" i="357"/>
  <c r="U30" i="357"/>
  <c r="T30" i="357"/>
  <c r="S30" i="357"/>
  <c r="Q30" i="357"/>
  <c r="K30" i="357"/>
  <c r="U29" i="357"/>
  <c r="T29" i="357"/>
  <c r="S29" i="357"/>
  <c r="Q29" i="357"/>
  <c r="K29" i="357"/>
  <c r="U28" i="357"/>
  <c r="T28" i="357"/>
  <c r="S28" i="357"/>
  <c r="Q28" i="357"/>
  <c r="K28" i="357"/>
  <c r="U27" i="357"/>
  <c r="T27" i="357"/>
  <c r="S27" i="357"/>
  <c r="Q27" i="357"/>
  <c r="K27" i="357"/>
  <c r="U26" i="357"/>
  <c r="AB102" i="357" s="1"/>
  <c r="T26" i="357"/>
  <c r="S26" i="357"/>
  <c r="Q26" i="357"/>
  <c r="K26" i="357"/>
  <c r="U25" i="357"/>
  <c r="T25" i="357"/>
  <c r="Q25" i="357"/>
  <c r="S25" i="357" s="1"/>
  <c r="K25" i="357"/>
  <c r="U24" i="357"/>
  <c r="T24" i="357"/>
  <c r="S24" i="357"/>
  <c r="V24" i="357" s="1"/>
  <c r="Q24" i="357"/>
  <c r="K24" i="357"/>
  <c r="U23" i="357"/>
  <c r="T23" i="357"/>
  <c r="S23" i="357"/>
  <c r="Q23" i="357"/>
  <c r="K23" i="357"/>
  <c r="U22" i="357"/>
  <c r="T22" i="357"/>
  <c r="Q22" i="357"/>
  <c r="S22" i="357" s="1"/>
  <c r="K22" i="357"/>
  <c r="U21" i="357"/>
  <c r="T21" i="357"/>
  <c r="S21" i="357"/>
  <c r="Q21" i="357"/>
  <c r="K21" i="357"/>
  <c r="U20" i="357"/>
  <c r="T20" i="357"/>
  <c r="Q20" i="357"/>
  <c r="S20" i="357" s="1"/>
  <c r="K20" i="357"/>
  <c r="U19" i="357"/>
  <c r="T19" i="357"/>
  <c r="Q19" i="357"/>
  <c r="S19" i="357" s="1"/>
  <c r="K19" i="357"/>
  <c r="U18" i="357"/>
  <c r="S18" i="357"/>
  <c r="AB99" i="357" s="1"/>
  <c r="Q18" i="357"/>
  <c r="T18" i="357" s="1"/>
  <c r="AB94" i="357" s="1"/>
  <c r="K18" i="357"/>
  <c r="U17" i="357"/>
  <c r="S17" i="357"/>
  <c r="Q17" i="357"/>
  <c r="T17" i="357" s="1"/>
  <c r="K17" i="357"/>
  <c r="U16" i="357"/>
  <c r="T16" i="357"/>
  <c r="S16" i="357"/>
  <c r="K16" i="357"/>
  <c r="Z15" i="357"/>
  <c r="Z16" i="357" s="1"/>
  <c r="AA16" i="357" s="1"/>
  <c r="U15" i="357"/>
  <c r="T15" i="357"/>
  <c r="Q15" i="357"/>
  <c r="S15" i="357" s="1"/>
  <c r="K15" i="357"/>
  <c r="U14" i="357"/>
  <c r="T14" i="357"/>
  <c r="Q14" i="357"/>
  <c r="S14" i="357" s="1"/>
  <c r="K14" i="357"/>
  <c r="U13" i="357"/>
  <c r="T13" i="357"/>
  <c r="Q13" i="357"/>
  <c r="S13" i="357" s="1"/>
  <c r="K13" i="357"/>
  <c r="AC12" i="357"/>
  <c r="AB12" i="357"/>
  <c r="AA12" i="357"/>
  <c r="U12" i="357"/>
  <c r="T12" i="357"/>
  <c r="Q12" i="357"/>
  <c r="S12" i="357" s="1"/>
  <c r="K12" i="357"/>
  <c r="AA11" i="357"/>
  <c r="U11" i="357"/>
  <c r="T11" i="357"/>
  <c r="Q11" i="357"/>
  <c r="S11" i="357" s="1"/>
  <c r="V11" i="357" s="1"/>
  <c r="K11" i="357"/>
  <c r="AB10" i="357"/>
  <c r="AC58" i="357" s="1"/>
  <c r="U10" i="357"/>
  <c r="Q10" i="357"/>
  <c r="T10" i="357" s="1"/>
  <c r="K10" i="357"/>
  <c r="AA9" i="357"/>
  <c r="U9" i="357"/>
  <c r="Q9" i="357"/>
  <c r="T9" i="357" s="1"/>
  <c r="K9" i="357"/>
  <c r="U8" i="357"/>
  <c r="T8" i="357"/>
  <c r="Q8" i="357"/>
  <c r="S8" i="357" s="1"/>
  <c r="V8" i="357" s="1"/>
  <c r="K8" i="357"/>
  <c r="Z7" i="357"/>
  <c r="U7" i="357"/>
  <c r="T7" i="357"/>
  <c r="S7" i="357"/>
  <c r="Q7" i="357"/>
  <c r="K7" i="357"/>
  <c r="I7" i="357"/>
  <c r="H7" i="357"/>
  <c r="Z6" i="357"/>
  <c r="U6" i="357"/>
  <c r="T6" i="357"/>
  <c r="Q6" i="357"/>
  <c r="S6" i="357" s="1"/>
  <c r="K6" i="357"/>
  <c r="U5" i="357"/>
  <c r="T5" i="357"/>
  <c r="S5" i="357"/>
  <c r="Q5" i="357"/>
  <c r="K5" i="357"/>
  <c r="U4" i="357"/>
  <c r="S4" i="357"/>
  <c r="Q4" i="357"/>
  <c r="T4" i="357" s="1"/>
  <c r="K4" i="357"/>
  <c r="AE3" i="357"/>
  <c r="U3" i="357"/>
  <c r="S3" i="357"/>
  <c r="Q3" i="357"/>
  <c r="T3" i="357" s="1"/>
  <c r="K3" i="357"/>
  <c r="U2" i="357"/>
  <c r="T2" i="357"/>
  <c r="Q2" i="357"/>
  <c r="S2" i="357" s="1"/>
  <c r="K2" i="357"/>
  <c r="AH56" i="356"/>
  <c r="AG56" i="356"/>
  <c r="AF56" i="356"/>
  <c r="X3" i="361" l="1"/>
  <c r="AK51" i="361"/>
  <c r="AL51" i="361" s="1"/>
  <c r="AJ51" i="361" s="1"/>
  <c r="AL53" i="361"/>
  <c r="AE58" i="361"/>
  <c r="AG58" i="361"/>
  <c r="AB81" i="361"/>
  <c r="AE59" i="361"/>
  <c r="AK54" i="361"/>
  <c r="AK55" i="361" s="1"/>
  <c r="AK56" i="361" s="1"/>
  <c r="AL54" i="361"/>
  <c r="AE79" i="361"/>
  <c r="AF79" i="361" s="1"/>
  <c r="W5" i="361"/>
  <c r="X4" i="361"/>
  <c r="AC62" i="361"/>
  <c r="AF78" i="361"/>
  <c r="AC61" i="361"/>
  <c r="AK75" i="361"/>
  <c r="AD81" i="361"/>
  <c r="X3" i="360"/>
  <c r="W4" i="360"/>
  <c r="AL56" i="360"/>
  <c r="AF78" i="360"/>
  <c r="AF81" i="360" s="1"/>
  <c r="AE81" i="360"/>
  <c r="AG5" i="360"/>
  <c r="AF56" i="360"/>
  <c r="AG56" i="360" s="1"/>
  <c r="AH56" i="360" s="1"/>
  <c r="AD81" i="360"/>
  <c r="AK75" i="360"/>
  <c r="AM56" i="360"/>
  <c r="AF61" i="360"/>
  <c r="AD81" i="359"/>
  <c r="AK75" i="359"/>
  <c r="AF61" i="359"/>
  <c r="AF59" i="359"/>
  <c r="AK54" i="359"/>
  <c r="AK55" i="359" s="1"/>
  <c r="AK56" i="359" s="1"/>
  <c r="AE79" i="359"/>
  <c r="AF79" i="359" s="1"/>
  <c r="AL54" i="359"/>
  <c r="AL56" i="359" s="1"/>
  <c r="W5" i="359"/>
  <c r="X4" i="359"/>
  <c r="AB81" i="359"/>
  <c r="AD62" i="359"/>
  <c r="AF78" i="359"/>
  <c r="Z58" i="358"/>
  <c r="AB78" i="358" s="1"/>
  <c r="L2" i="358"/>
  <c r="L3" i="358" s="1"/>
  <c r="L4" i="358" s="1"/>
  <c r="L5" i="358" s="1"/>
  <c r="L6" i="358" s="1"/>
  <c r="L7" i="358" s="1"/>
  <c r="L8" i="358" s="1"/>
  <c r="L9" i="358" s="1"/>
  <c r="L10" i="358" s="1"/>
  <c r="L11" i="358" s="1"/>
  <c r="L12" i="358" s="1"/>
  <c r="L13" i="358" s="1"/>
  <c r="L14" i="358" s="1"/>
  <c r="L15" i="358" s="1"/>
  <c r="L16" i="358" s="1"/>
  <c r="L17" i="358" s="1"/>
  <c r="L18" i="358" s="1"/>
  <c r="L19" i="358" s="1"/>
  <c r="L20" i="358" s="1"/>
  <c r="L21" i="358" s="1"/>
  <c r="L22" i="358" s="1"/>
  <c r="L23" i="358" s="1"/>
  <c r="L24" i="358" s="1"/>
  <c r="L25" i="358" s="1"/>
  <c r="L26" i="358" s="1"/>
  <c r="L27" i="358" s="1"/>
  <c r="L28" i="358" s="1"/>
  <c r="L29" i="358" s="1"/>
  <c r="L30" i="358" s="1"/>
  <c r="L31" i="358" s="1"/>
  <c r="L32" i="358" s="1"/>
  <c r="L33" i="358" s="1"/>
  <c r="L34" i="358" s="1"/>
  <c r="L35" i="358" s="1"/>
  <c r="L36" i="358" s="1"/>
  <c r="L37" i="358" s="1"/>
  <c r="L38" i="358" s="1"/>
  <c r="L39" i="358" s="1"/>
  <c r="L40" i="358" s="1"/>
  <c r="L41" i="358" s="1"/>
  <c r="L42" i="358" s="1"/>
  <c r="L43" i="358" s="1"/>
  <c r="L44" i="358" s="1"/>
  <c r="L45" i="358" s="1"/>
  <c r="L46" i="358" s="1"/>
  <c r="L47" i="358" s="1"/>
  <c r="L48" i="358" s="1"/>
  <c r="L49" i="358" s="1"/>
  <c r="L50" i="358" s="1"/>
  <c r="L51" i="358" s="1"/>
  <c r="L52" i="358" s="1"/>
  <c r="L53" i="358" s="1"/>
  <c r="L54" i="358" s="1"/>
  <c r="L55" i="358" s="1"/>
  <c r="L56" i="358" s="1"/>
  <c r="L57" i="358" s="1"/>
  <c r="L58" i="358" s="1"/>
  <c r="L59" i="358" s="1"/>
  <c r="L60" i="358" s="1"/>
  <c r="L61" i="358" s="1"/>
  <c r="L62" i="358" s="1"/>
  <c r="L63" i="358" s="1"/>
  <c r="L64" i="358" s="1"/>
  <c r="L65" i="358" s="1"/>
  <c r="L66" i="358" s="1"/>
  <c r="L67" i="358" s="1"/>
  <c r="L68" i="358" s="1"/>
  <c r="L69" i="358" s="1"/>
  <c r="L70" i="358" s="1"/>
  <c r="L71" i="358" s="1"/>
  <c r="L72" i="358" s="1"/>
  <c r="L73" i="358" s="1"/>
  <c r="L74" i="358" s="1"/>
  <c r="L75" i="358" s="1"/>
  <c r="L76" i="358" s="1"/>
  <c r="L77" i="358" s="1"/>
  <c r="L78" i="358" s="1"/>
  <c r="L79" i="358" s="1"/>
  <c r="L80" i="358" s="1"/>
  <c r="L81" i="358" s="1"/>
  <c r="L82" i="358" s="1"/>
  <c r="L83" i="358" s="1"/>
  <c r="L84" i="358" s="1"/>
  <c r="L85" i="358" s="1"/>
  <c r="L86" i="358" s="1"/>
  <c r="L87" i="358" s="1"/>
  <c r="L88" i="358" s="1"/>
  <c r="L89" i="358" s="1"/>
  <c r="L90" i="358" s="1"/>
  <c r="L91" i="358" s="1"/>
  <c r="L92" i="358" s="1"/>
  <c r="L93" i="358" s="1"/>
  <c r="L94" i="358" s="1"/>
  <c r="L95" i="358" s="1"/>
  <c r="L96" i="358" s="1"/>
  <c r="L97" i="358" s="1"/>
  <c r="L98" i="358" s="1"/>
  <c r="L99" i="358" s="1"/>
  <c r="L100" i="358" s="1"/>
  <c r="L101" i="358" s="1"/>
  <c r="L102" i="358" s="1"/>
  <c r="L103" i="358" s="1"/>
  <c r="L105" i="358" s="1"/>
  <c r="AG4" i="358"/>
  <c r="AH4" i="358" s="1"/>
  <c r="Z4" i="358"/>
  <c r="Z3" i="358"/>
  <c r="AD37" i="358"/>
  <c r="X2" i="358"/>
  <c r="W3" i="358"/>
  <c r="AB80" i="358"/>
  <c r="AD80" i="358" s="1"/>
  <c r="AK77" i="358" s="1"/>
  <c r="AL77" i="358" s="1"/>
  <c r="Z53" i="358"/>
  <c r="AD60" i="358"/>
  <c r="Z59" i="358"/>
  <c r="AC5" i="358"/>
  <c r="AE5" i="358" s="1"/>
  <c r="AA5" i="358"/>
  <c r="AG3" i="358"/>
  <c r="AF3" i="358"/>
  <c r="AA37" i="358"/>
  <c r="AB37" i="358" s="1"/>
  <c r="AB35" i="358"/>
  <c r="AE4" i="358"/>
  <c r="AF4" i="358" s="1"/>
  <c r="V21" i="357"/>
  <c r="V56" i="357"/>
  <c r="V3" i="357"/>
  <c r="V12" i="357"/>
  <c r="AA15" i="357"/>
  <c r="V19" i="357"/>
  <c r="V20" i="357"/>
  <c r="V31" i="357"/>
  <c r="V55" i="357"/>
  <c r="V89" i="357"/>
  <c r="N94" i="357"/>
  <c r="O94" i="357" s="1"/>
  <c r="V27" i="357"/>
  <c r="AD34" i="357"/>
  <c r="AD36" i="357" s="1"/>
  <c r="V43" i="357"/>
  <c r="AC43" i="357"/>
  <c r="V52" i="357"/>
  <c r="V53" i="357"/>
  <c r="V76" i="357"/>
  <c r="V79" i="357"/>
  <c r="V88" i="357"/>
  <c r="V47" i="357"/>
  <c r="V49" i="357"/>
  <c r="N56" i="357"/>
  <c r="O80" i="357" s="1"/>
  <c r="V64" i="357"/>
  <c r="V81" i="357"/>
  <c r="AI59" i="357"/>
  <c r="AJ59" i="357" s="1"/>
  <c r="V5" i="357"/>
  <c r="V6" i="357"/>
  <c r="V7" i="357"/>
  <c r="V14" i="357"/>
  <c r="V15" i="357"/>
  <c r="V17" i="357"/>
  <c r="V23" i="357"/>
  <c r="V29" i="357"/>
  <c r="V34" i="357"/>
  <c r="AD35" i="357"/>
  <c r="AD37" i="357" s="1"/>
  <c r="V40" i="357"/>
  <c r="V45" i="357"/>
  <c r="N50" i="357"/>
  <c r="V60" i="357"/>
  <c r="V75" i="357"/>
  <c r="AC80" i="357"/>
  <c r="V90" i="357"/>
  <c r="V92" i="357"/>
  <c r="V95" i="357"/>
  <c r="V96" i="357"/>
  <c r="V100" i="357"/>
  <c r="V102" i="357"/>
  <c r="V4" i="357"/>
  <c r="V13" i="357"/>
  <c r="AB93" i="357"/>
  <c r="V18" i="357"/>
  <c r="V35" i="357"/>
  <c r="AB36" i="357"/>
  <c r="V41" i="357"/>
  <c r="V44" i="357"/>
  <c r="AC45" i="357"/>
  <c r="V63" i="357"/>
  <c r="V67" i="357"/>
  <c r="V70" i="357"/>
  <c r="V77" i="357"/>
  <c r="V97" i="357"/>
  <c r="O57" i="357"/>
  <c r="O76" i="357"/>
  <c r="O64" i="357"/>
  <c r="O60" i="357"/>
  <c r="AB95" i="357"/>
  <c r="V33" i="357"/>
  <c r="N2" i="357"/>
  <c r="O14" i="357" s="1"/>
  <c r="Z72" i="357"/>
  <c r="Y55" i="357"/>
  <c r="S10" i="357"/>
  <c r="V10" i="357" s="1"/>
  <c r="O16" i="357"/>
  <c r="V26" i="357"/>
  <c r="N85" i="357"/>
  <c r="O86" i="357" s="1"/>
  <c r="U105" i="357"/>
  <c r="AD4" i="357" s="1"/>
  <c r="H105" i="357"/>
  <c r="H107" i="357" s="1"/>
  <c r="AA97" i="357"/>
  <c r="AA42" i="357"/>
  <c r="AC42" i="357" s="1"/>
  <c r="S9" i="357"/>
  <c r="V9" i="357" s="1"/>
  <c r="V22" i="357"/>
  <c r="V25" i="357"/>
  <c r="N27" i="357"/>
  <c r="O45" i="357" s="1"/>
  <c r="O29" i="357"/>
  <c r="V30" i="357"/>
  <c r="R50" i="357"/>
  <c r="AC61" i="357"/>
  <c r="AA68" i="357" s="1"/>
  <c r="V91" i="357"/>
  <c r="AB100" i="357"/>
  <c r="AC37" i="357"/>
  <c r="O39" i="357"/>
  <c r="R54" i="357"/>
  <c r="T105" i="357"/>
  <c r="AB4" i="357" s="1"/>
  <c r="AB92" i="357"/>
  <c r="R52" i="357"/>
  <c r="AC78" i="357"/>
  <c r="AC81" i="357" s="1"/>
  <c r="AA62" i="357"/>
  <c r="AA61" i="357"/>
  <c r="O63" i="357"/>
  <c r="O99" i="357"/>
  <c r="O103" i="357"/>
  <c r="O102" i="357"/>
  <c r="O97" i="357"/>
  <c r="O95" i="357"/>
  <c r="K105" i="357"/>
  <c r="K108" i="357" s="1"/>
  <c r="K110" i="357" s="1"/>
  <c r="Q105" i="357"/>
  <c r="V2" i="357"/>
  <c r="I105" i="357"/>
  <c r="AA92" i="357"/>
  <c r="Z10" i="357"/>
  <c r="AB98" i="357"/>
  <c r="V16" i="357"/>
  <c r="V28" i="357"/>
  <c r="O34" i="357"/>
  <c r="AE36" i="357"/>
  <c r="O42" i="357"/>
  <c r="AG58" i="357"/>
  <c r="V59" i="357"/>
  <c r="O71" i="357"/>
  <c r="V86" i="357"/>
  <c r="O32" i="357"/>
  <c r="AE34" i="357"/>
  <c r="V37" i="357"/>
  <c r="AC44" i="357"/>
  <c r="V61" i="357"/>
  <c r="O67" i="357"/>
  <c r="V78" i="357"/>
  <c r="N81" i="357"/>
  <c r="V94" i="357"/>
  <c r="V36" i="357"/>
  <c r="V48" i="357"/>
  <c r="AB62" i="357"/>
  <c r="AB61" i="357"/>
  <c r="V73" i="357"/>
  <c r="V85" i="357"/>
  <c r="V46" i="357"/>
  <c r="O56" i="357"/>
  <c r="V62" i="357"/>
  <c r="V71" i="357"/>
  <c r="O77" i="357"/>
  <c r="V83" i="357"/>
  <c r="O92" i="357"/>
  <c r="V93" i="357"/>
  <c r="V99" i="357"/>
  <c r="U123" i="356"/>
  <c r="I113" i="356"/>
  <c r="P105" i="356"/>
  <c r="M105" i="356"/>
  <c r="J105" i="356"/>
  <c r="U103" i="356"/>
  <c r="T103" i="356"/>
  <c r="S103" i="356"/>
  <c r="Q103" i="356"/>
  <c r="K103" i="356"/>
  <c r="AA102" i="356"/>
  <c r="U102" i="356"/>
  <c r="T102" i="356"/>
  <c r="S102" i="356"/>
  <c r="V102" i="356" s="1"/>
  <c r="Q102" i="356"/>
  <c r="K102" i="356"/>
  <c r="U101" i="356"/>
  <c r="T101" i="356"/>
  <c r="S101" i="356"/>
  <c r="Q101" i="356"/>
  <c r="K101" i="356"/>
  <c r="AA100" i="356"/>
  <c r="U100" i="356"/>
  <c r="T100" i="356"/>
  <c r="S100" i="356"/>
  <c r="Q100" i="356"/>
  <c r="K100" i="356"/>
  <c r="AA99" i="356"/>
  <c r="U99" i="356"/>
  <c r="T99" i="356"/>
  <c r="S99" i="356"/>
  <c r="Q99" i="356"/>
  <c r="K99" i="356"/>
  <c r="AA98" i="356"/>
  <c r="U98" i="356"/>
  <c r="T98" i="356"/>
  <c r="S98" i="356"/>
  <c r="V98" i="356" s="1"/>
  <c r="Q98" i="356"/>
  <c r="K98" i="356"/>
  <c r="U97" i="356"/>
  <c r="T97" i="356"/>
  <c r="S97" i="356"/>
  <c r="Q97" i="356"/>
  <c r="K97" i="356"/>
  <c r="U96" i="356"/>
  <c r="V96" i="356" s="1"/>
  <c r="T96" i="356"/>
  <c r="S96" i="356"/>
  <c r="Q96" i="356"/>
  <c r="K96" i="356"/>
  <c r="AA95" i="356"/>
  <c r="U95" i="356"/>
  <c r="T95" i="356"/>
  <c r="S95" i="356"/>
  <c r="Q95" i="356"/>
  <c r="K95" i="356"/>
  <c r="AA94" i="356"/>
  <c r="U94" i="356"/>
  <c r="T94" i="356"/>
  <c r="S94" i="356"/>
  <c r="Q94" i="356"/>
  <c r="K94" i="356"/>
  <c r="N94" i="356" s="1"/>
  <c r="O103" i="356" s="1"/>
  <c r="AA93" i="356"/>
  <c r="U93" i="356"/>
  <c r="T93" i="356"/>
  <c r="S93" i="356"/>
  <c r="Q93" i="356"/>
  <c r="K93" i="356"/>
  <c r="U92" i="356"/>
  <c r="T92" i="356"/>
  <c r="S92" i="356"/>
  <c r="Q92" i="356"/>
  <c r="K92" i="356"/>
  <c r="U91" i="356"/>
  <c r="T91" i="356"/>
  <c r="S91" i="356"/>
  <c r="Q91" i="356"/>
  <c r="K91" i="356"/>
  <c r="U90" i="356"/>
  <c r="T90" i="356"/>
  <c r="S90" i="356"/>
  <c r="Q90" i="356"/>
  <c r="K90" i="356"/>
  <c r="U89" i="356"/>
  <c r="T89" i="356"/>
  <c r="S89" i="356"/>
  <c r="Q89" i="356"/>
  <c r="K89" i="356"/>
  <c r="U88" i="356"/>
  <c r="T88" i="356"/>
  <c r="V88" i="356" s="1"/>
  <c r="S88" i="356"/>
  <c r="Q88" i="356"/>
  <c r="K88" i="356"/>
  <c r="AE87" i="356"/>
  <c r="AF86" i="356" s="1"/>
  <c r="AG86" i="356" s="1"/>
  <c r="AH86" i="356" s="1"/>
  <c r="AH87" i="356" s="1"/>
  <c r="AH88" i="356" s="1"/>
  <c r="AA87" i="356"/>
  <c r="Y87" i="356"/>
  <c r="U87" i="356"/>
  <c r="T87" i="356"/>
  <c r="S87" i="356"/>
  <c r="Q87" i="356"/>
  <c r="K87" i="356"/>
  <c r="U86" i="356"/>
  <c r="T86" i="356"/>
  <c r="S86" i="356"/>
  <c r="Q86" i="356"/>
  <c r="K86" i="356"/>
  <c r="U85" i="356"/>
  <c r="T85" i="356"/>
  <c r="S85" i="356"/>
  <c r="V85" i="356" s="1"/>
  <c r="Q85" i="356"/>
  <c r="K85" i="356"/>
  <c r="U84" i="356"/>
  <c r="T84" i="356"/>
  <c r="S84" i="356"/>
  <c r="V84" i="356" s="1"/>
  <c r="X84" i="356" s="1"/>
  <c r="Q84" i="356"/>
  <c r="K84" i="356"/>
  <c r="U83" i="356"/>
  <c r="T83" i="356"/>
  <c r="S83" i="356"/>
  <c r="Q83" i="356"/>
  <c r="K83" i="356"/>
  <c r="U82" i="356"/>
  <c r="T82" i="356"/>
  <c r="S82" i="356"/>
  <c r="Q82" i="356"/>
  <c r="K82" i="356"/>
  <c r="AA81" i="356"/>
  <c r="AA86" i="356" s="1"/>
  <c r="AB86" i="356" s="1"/>
  <c r="AC86" i="356" s="1"/>
  <c r="AD86" i="356" s="1"/>
  <c r="AD87" i="356" s="1"/>
  <c r="AD88" i="356" s="1"/>
  <c r="Z81" i="356"/>
  <c r="U81" i="356"/>
  <c r="T81" i="356"/>
  <c r="S81" i="356"/>
  <c r="Q81" i="356"/>
  <c r="K81" i="356"/>
  <c r="AI80" i="356"/>
  <c r="U80" i="356"/>
  <c r="T80" i="356"/>
  <c r="S80" i="356"/>
  <c r="Q80" i="356"/>
  <c r="K80" i="356"/>
  <c r="AI79" i="356"/>
  <c r="U79" i="356"/>
  <c r="T79" i="356"/>
  <c r="S79" i="356"/>
  <c r="Q79" i="356"/>
  <c r="K79" i="356"/>
  <c r="AI78" i="356"/>
  <c r="U78" i="356"/>
  <c r="T78" i="356"/>
  <c r="S78" i="356"/>
  <c r="V78" i="356" s="1"/>
  <c r="Q78" i="356"/>
  <c r="K78" i="356"/>
  <c r="U77" i="356"/>
  <c r="T77" i="356"/>
  <c r="S77" i="356"/>
  <c r="Q77" i="356"/>
  <c r="K77" i="356"/>
  <c r="U76" i="356"/>
  <c r="T76" i="356"/>
  <c r="S76" i="356"/>
  <c r="Q76" i="356"/>
  <c r="K76" i="356"/>
  <c r="U75" i="356"/>
  <c r="T75" i="356"/>
  <c r="S75" i="356"/>
  <c r="Q75" i="356"/>
  <c r="K75" i="356"/>
  <c r="U74" i="356"/>
  <c r="T74" i="356"/>
  <c r="S74" i="356"/>
  <c r="Q74" i="356"/>
  <c r="K74" i="356"/>
  <c r="AD73" i="356"/>
  <c r="Z73" i="356"/>
  <c r="U73" i="356"/>
  <c r="T73" i="356"/>
  <c r="S73" i="356"/>
  <c r="Q73" i="356"/>
  <c r="K73" i="356"/>
  <c r="U72" i="356"/>
  <c r="T72" i="356"/>
  <c r="S72" i="356"/>
  <c r="Q72" i="356"/>
  <c r="K72" i="356"/>
  <c r="U71" i="356"/>
  <c r="T71" i="356"/>
  <c r="S71" i="356"/>
  <c r="Q71" i="356"/>
  <c r="K71" i="356"/>
  <c r="U70" i="356"/>
  <c r="T70" i="356"/>
  <c r="S70" i="356"/>
  <c r="Q70" i="356"/>
  <c r="K70" i="356"/>
  <c r="U69" i="356"/>
  <c r="T69" i="356"/>
  <c r="S69" i="356"/>
  <c r="V69" i="356" s="1"/>
  <c r="Q69" i="356"/>
  <c r="K69" i="356"/>
  <c r="U68" i="356"/>
  <c r="T68" i="356"/>
  <c r="S68" i="356"/>
  <c r="Q68" i="356"/>
  <c r="K68" i="356"/>
  <c r="AA67" i="356"/>
  <c r="U67" i="356"/>
  <c r="T67" i="356"/>
  <c r="S67" i="356"/>
  <c r="V67" i="356" s="1"/>
  <c r="Q67" i="356"/>
  <c r="K67" i="356"/>
  <c r="U66" i="356"/>
  <c r="T66" i="356"/>
  <c r="S66" i="356"/>
  <c r="Q66" i="356"/>
  <c r="K66" i="356"/>
  <c r="U65" i="356"/>
  <c r="T65" i="356"/>
  <c r="S65" i="356"/>
  <c r="Q65" i="356"/>
  <c r="K65" i="356"/>
  <c r="U64" i="356"/>
  <c r="T64" i="356"/>
  <c r="S64" i="356"/>
  <c r="Q64" i="356"/>
  <c r="K64" i="356"/>
  <c r="U63" i="356"/>
  <c r="T63" i="356"/>
  <c r="S63" i="356"/>
  <c r="Q63" i="356"/>
  <c r="K63" i="356"/>
  <c r="AC62" i="356"/>
  <c r="U62" i="356"/>
  <c r="T62" i="356"/>
  <c r="S62" i="356"/>
  <c r="Q62" i="356"/>
  <c r="K62" i="356"/>
  <c r="U61" i="356"/>
  <c r="T61" i="356"/>
  <c r="S61" i="356"/>
  <c r="Q61" i="356"/>
  <c r="K61" i="356"/>
  <c r="AA60" i="356"/>
  <c r="U60" i="356"/>
  <c r="T60" i="356"/>
  <c r="S60" i="356"/>
  <c r="Q60" i="356"/>
  <c r="K60" i="356"/>
  <c r="AB59" i="356"/>
  <c r="AA59" i="356"/>
  <c r="AC79" i="356" s="1"/>
  <c r="U59" i="356"/>
  <c r="T59" i="356"/>
  <c r="S59" i="356"/>
  <c r="Q59" i="356"/>
  <c r="K59" i="356"/>
  <c r="AM58" i="356"/>
  <c r="AB58" i="356"/>
  <c r="AA58" i="356"/>
  <c r="AC78" i="356" s="1"/>
  <c r="U58" i="356"/>
  <c r="T58" i="356"/>
  <c r="S58" i="356"/>
  <c r="V58" i="356" s="1"/>
  <c r="Q58" i="356"/>
  <c r="K58" i="356"/>
  <c r="U57" i="356"/>
  <c r="T57" i="356"/>
  <c r="S57" i="356"/>
  <c r="Q57" i="356"/>
  <c r="K57" i="356"/>
  <c r="U56" i="356"/>
  <c r="T56" i="356"/>
  <c r="S56" i="356"/>
  <c r="Q56" i="356"/>
  <c r="K56" i="356"/>
  <c r="U55" i="356"/>
  <c r="T55" i="356"/>
  <c r="S55" i="356"/>
  <c r="Q55" i="356"/>
  <c r="K55" i="356"/>
  <c r="U54" i="356"/>
  <c r="T54" i="356"/>
  <c r="S54" i="356"/>
  <c r="V54" i="356" s="1"/>
  <c r="Q54" i="356"/>
  <c r="K54" i="356"/>
  <c r="Y53" i="356"/>
  <c r="U53" i="356"/>
  <c r="T53" i="356"/>
  <c r="Q53" i="356"/>
  <c r="S53" i="356" s="1"/>
  <c r="K53" i="356"/>
  <c r="U52" i="356"/>
  <c r="T52" i="356"/>
  <c r="S52" i="356"/>
  <c r="Q52" i="356"/>
  <c r="K52" i="356"/>
  <c r="Y51" i="356"/>
  <c r="U51" i="356"/>
  <c r="T51" i="356"/>
  <c r="S51" i="356"/>
  <c r="Q51" i="356"/>
  <c r="K51" i="356"/>
  <c r="AB50" i="356"/>
  <c r="U50" i="356"/>
  <c r="T50" i="356"/>
  <c r="S50" i="356"/>
  <c r="Q50" i="356"/>
  <c r="K50" i="356"/>
  <c r="Y49" i="356"/>
  <c r="Z49" i="356" s="1"/>
  <c r="U49" i="356"/>
  <c r="T49" i="356"/>
  <c r="S49" i="356"/>
  <c r="Q49" i="356"/>
  <c r="K49" i="356"/>
  <c r="Y48" i="356"/>
  <c r="Z48" i="356" s="1"/>
  <c r="U48" i="356"/>
  <c r="T48" i="356"/>
  <c r="S48" i="356"/>
  <c r="Q48" i="356"/>
  <c r="K48" i="356"/>
  <c r="AB47" i="356"/>
  <c r="U47" i="356"/>
  <c r="T47" i="356"/>
  <c r="S47" i="356"/>
  <c r="V47" i="356" s="1"/>
  <c r="Q47" i="356"/>
  <c r="K47" i="356"/>
  <c r="U46" i="356"/>
  <c r="T46" i="356"/>
  <c r="Q46" i="356"/>
  <c r="S46" i="356" s="1"/>
  <c r="K46" i="356"/>
  <c r="AB45" i="356"/>
  <c r="AA45" i="356"/>
  <c r="AC45" i="356" s="1"/>
  <c r="U45" i="356"/>
  <c r="T45" i="356"/>
  <c r="S45" i="356"/>
  <c r="V45" i="356" s="1"/>
  <c r="Q45" i="356"/>
  <c r="K45" i="356"/>
  <c r="AB44" i="356"/>
  <c r="AA44" i="356"/>
  <c r="U44" i="356"/>
  <c r="T44" i="356"/>
  <c r="S44" i="356"/>
  <c r="Q44" i="356"/>
  <c r="K44" i="356"/>
  <c r="AB43" i="356"/>
  <c r="AA43" i="356"/>
  <c r="AC43" i="356" s="1"/>
  <c r="U43" i="356"/>
  <c r="T43" i="356"/>
  <c r="S43" i="356"/>
  <c r="Q43" i="356"/>
  <c r="K43" i="356"/>
  <c r="AB42" i="356"/>
  <c r="U42" i="356"/>
  <c r="T42" i="356"/>
  <c r="Q42" i="356"/>
  <c r="S42" i="356" s="1"/>
  <c r="K42" i="356"/>
  <c r="U41" i="356"/>
  <c r="T41" i="356"/>
  <c r="Q41" i="356"/>
  <c r="S41" i="356" s="1"/>
  <c r="V41" i="356" s="1"/>
  <c r="K41" i="356"/>
  <c r="U40" i="356"/>
  <c r="T40" i="356"/>
  <c r="S40" i="356"/>
  <c r="K40" i="356"/>
  <c r="U39" i="356"/>
  <c r="T39" i="356"/>
  <c r="S39" i="356"/>
  <c r="V39" i="356" s="1"/>
  <c r="Q39" i="356"/>
  <c r="K39" i="356"/>
  <c r="U38" i="356"/>
  <c r="T38" i="356"/>
  <c r="Q38" i="356"/>
  <c r="S38" i="356" s="1"/>
  <c r="K38" i="356"/>
  <c r="U37" i="356"/>
  <c r="T37" i="356"/>
  <c r="S37" i="356"/>
  <c r="Q37" i="356"/>
  <c r="K37" i="356"/>
  <c r="Z36" i="356"/>
  <c r="AA36" i="356" s="1"/>
  <c r="AB36" i="356" s="1"/>
  <c r="U36" i="356"/>
  <c r="T36" i="356"/>
  <c r="S36" i="356"/>
  <c r="Q36" i="356"/>
  <c r="K36" i="356"/>
  <c r="Z35" i="356"/>
  <c r="Z37" i="356" s="1"/>
  <c r="U35" i="356"/>
  <c r="T35" i="356"/>
  <c r="S35" i="356"/>
  <c r="Q35" i="356"/>
  <c r="K35" i="356"/>
  <c r="AC34" i="356"/>
  <c r="AC36" i="356" s="1"/>
  <c r="U34" i="356"/>
  <c r="T34" i="356"/>
  <c r="S34" i="356"/>
  <c r="Q34" i="356"/>
  <c r="K34" i="356"/>
  <c r="U33" i="356"/>
  <c r="T33" i="356"/>
  <c r="V33" i="356" s="1"/>
  <c r="S33" i="356"/>
  <c r="Q33" i="356"/>
  <c r="K33" i="356"/>
  <c r="U32" i="356"/>
  <c r="V32" i="356" s="1"/>
  <c r="T32" i="356"/>
  <c r="S32" i="356"/>
  <c r="Q32" i="356"/>
  <c r="K32" i="356"/>
  <c r="U31" i="356"/>
  <c r="T31" i="356"/>
  <c r="S31" i="356"/>
  <c r="V31" i="356" s="1"/>
  <c r="Q31" i="356"/>
  <c r="K31" i="356"/>
  <c r="Z30" i="356"/>
  <c r="U30" i="356"/>
  <c r="T30" i="356"/>
  <c r="S30" i="356"/>
  <c r="Q30" i="356"/>
  <c r="K30" i="356"/>
  <c r="U29" i="356"/>
  <c r="T29" i="356"/>
  <c r="S29" i="356"/>
  <c r="Q29" i="356"/>
  <c r="K29" i="356"/>
  <c r="U28" i="356"/>
  <c r="T28" i="356"/>
  <c r="S28" i="356"/>
  <c r="Q28" i="356"/>
  <c r="K28" i="356"/>
  <c r="U27" i="356"/>
  <c r="T27" i="356"/>
  <c r="S27" i="356"/>
  <c r="Q27" i="356"/>
  <c r="K27" i="356"/>
  <c r="U26" i="356"/>
  <c r="AB102" i="356" s="1"/>
  <c r="T26" i="356"/>
  <c r="S26" i="356"/>
  <c r="Q26" i="356"/>
  <c r="K26" i="356"/>
  <c r="U25" i="356"/>
  <c r="T25" i="356"/>
  <c r="Q25" i="356"/>
  <c r="S25" i="356" s="1"/>
  <c r="K25" i="356"/>
  <c r="U24" i="356"/>
  <c r="V24" i="356" s="1"/>
  <c r="T24" i="356"/>
  <c r="S24" i="356"/>
  <c r="Q24" i="356"/>
  <c r="K24" i="356"/>
  <c r="U23" i="356"/>
  <c r="T23" i="356"/>
  <c r="S23" i="356"/>
  <c r="V23" i="356" s="1"/>
  <c r="Q23" i="356"/>
  <c r="K23" i="356"/>
  <c r="U22" i="356"/>
  <c r="T22" i="356"/>
  <c r="Q22" i="356"/>
  <c r="S22" i="356" s="1"/>
  <c r="K22" i="356"/>
  <c r="U21" i="356"/>
  <c r="T21" i="356"/>
  <c r="S21" i="356"/>
  <c r="Q21" i="356"/>
  <c r="K21" i="356"/>
  <c r="U20" i="356"/>
  <c r="T20" i="356"/>
  <c r="Q20" i="356"/>
  <c r="S20" i="356" s="1"/>
  <c r="K20" i="356"/>
  <c r="U19" i="356"/>
  <c r="T19" i="356"/>
  <c r="Q19" i="356"/>
  <c r="S19" i="356" s="1"/>
  <c r="K19" i="356"/>
  <c r="U18" i="356"/>
  <c r="S18" i="356"/>
  <c r="AB99" i="356" s="1"/>
  <c r="Q18" i="356"/>
  <c r="T18" i="356" s="1"/>
  <c r="K18" i="356"/>
  <c r="U17" i="356"/>
  <c r="S17" i="356"/>
  <c r="V17" i="356" s="1"/>
  <c r="Q17" i="356"/>
  <c r="T17" i="356" s="1"/>
  <c r="K17" i="356"/>
  <c r="U16" i="356"/>
  <c r="T16" i="356"/>
  <c r="S16" i="356"/>
  <c r="K16" i="356"/>
  <c r="Z15" i="356"/>
  <c r="AA15" i="356" s="1"/>
  <c r="U15" i="356"/>
  <c r="T15" i="356"/>
  <c r="Q15" i="356"/>
  <c r="S15" i="356" s="1"/>
  <c r="K15" i="356"/>
  <c r="U14" i="356"/>
  <c r="T14" i="356"/>
  <c r="Q14" i="356"/>
  <c r="S14" i="356" s="1"/>
  <c r="K14" i="356"/>
  <c r="U13" i="356"/>
  <c r="T13" i="356"/>
  <c r="Q13" i="356"/>
  <c r="S13" i="356" s="1"/>
  <c r="K13" i="356"/>
  <c r="AC12" i="356"/>
  <c r="AB12" i="356"/>
  <c r="AA12" i="356"/>
  <c r="U12" i="356"/>
  <c r="T12" i="356"/>
  <c r="Q12" i="356"/>
  <c r="S12" i="356" s="1"/>
  <c r="K12" i="356"/>
  <c r="AA11" i="356"/>
  <c r="U11" i="356"/>
  <c r="T11" i="356"/>
  <c r="Q11" i="356"/>
  <c r="S11" i="356" s="1"/>
  <c r="V11" i="356" s="1"/>
  <c r="K11" i="356"/>
  <c r="AB10" i="356"/>
  <c r="AC61" i="356" s="1"/>
  <c r="U10" i="356"/>
  <c r="Q10" i="356"/>
  <c r="S10" i="356" s="1"/>
  <c r="K10" i="356"/>
  <c r="AA9" i="356"/>
  <c r="U9" i="356"/>
  <c r="Q9" i="356"/>
  <c r="T9" i="356" s="1"/>
  <c r="K9" i="356"/>
  <c r="Z8" i="356"/>
  <c r="Z72" i="356" s="1"/>
  <c r="U8" i="356"/>
  <c r="T8" i="356"/>
  <c r="Q8" i="356"/>
  <c r="S8" i="356" s="1"/>
  <c r="K8" i="356"/>
  <c r="Z7" i="356"/>
  <c r="U7" i="356"/>
  <c r="Q7" i="356"/>
  <c r="I7" i="356"/>
  <c r="H7" i="356"/>
  <c r="Z6" i="356"/>
  <c r="U6" i="356"/>
  <c r="T6" i="356"/>
  <c r="Q6" i="356"/>
  <c r="S6" i="356" s="1"/>
  <c r="K6" i="356"/>
  <c r="U5" i="356"/>
  <c r="S5" i="356"/>
  <c r="Q5" i="356"/>
  <c r="T5" i="356" s="1"/>
  <c r="K5" i="356"/>
  <c r="U4" i="356"/>
  <c r="S4" i="356"/>
  <c r="Q4" i="356"/>
  <c r="T4" i="356" s="1"/>
  <c r="K4" i="356"/>
  <c r="AE3" i="356"/>
  <c r="U3" i="356"/>
  <c r="S3" i="356"/>
  <c r="Q3" i="356"/>
  <c r="T3" i="356" s="1"/>
  <c r="K3" i="356"/>
  <c r="U2" i="356"/>
  <c r="T2" i="356"/>
  <c r="Q2" i="356"/>
  <c r="K2" i="356"/>
  <c r="AE61" i="361" l="1"/>
  <c r="AL56" i="361"/>
  <c r="AM56" i="361"/>
  <c r="AE81" i="361"/>
  <c r="AF81" i="361"/>
  <c r="AK78" i="361"/>
  <c r="AL79" i="361" s="1"/>
  <c r="AL75" i="361"/>
  <c r="AL78" i="361" s="1"/>
  <c r="W6" i="361"/>
  <c r="X5" i="361"/>
  <c r="X4" i="360"/>
  <c r="W5" i="360"/>
  <c r="AK78" i="360"/>
  <c r="AL79" i="360" s="1"/>
  <c r="AL75" i="360"/>
  <c r="AL78" i="360" s="1"/>
  <c r="AM56" i="359"/>
  <c r="AF81" i="359"/>
  <c r="AE81" i="359"/>
  <c r="X5" i="359"/>
  <c r="W6" i="359"/>
  <c r="AK78" i="359"/>
  <c r="AL79" i="359" s="1"/>
  <c r="AL75" i="359"/>
  <c r="AL78" i="359" s="1"/>
  <c r="AD58" i="358"/>
  <c r="AK51" i="358" s="1"/>
  <c r="AL51" i="358" s="1"/>
  <c r="AJ51" i="358" s="1"/>
  <c r="Z62" i="358"/>
  <c r="Z61" i="358"/>
  <c r="AB17" i="358" s="1"/>
  <c r="AF56" i="358"/>
  <c r="AG56" i="358" s="1"/>
  <c r="AH56" i="358" s="1"/>
  <c r="AG5" i="358"/>
  <c r="AL55" i="358"/>
  <c r="AF60" i="358"/>
  <c r="AE80" i="358"/>
  <c r="AF80" i="358" s="1"/>
  <c r="AD78" i="358"/>
  <c r="Z5" i="358"/>
  <c r="AF5" i="358"/>
  <c r="AB79" i="358"/>
  <c r="AD79" i="358" s="1"/>
  <c r="AK76" i="358" s="1"/>
  <c r="AL76" i="358" s="1"/>
  <c r="AD59" i="358"/>
  <c r="W4" i="358"/>
  <c r="X3" i="358"/>
  <c r="O100" i="357"/>
  <c r="O96" i="357"/>
  <c r="O58" i="357"/>
  <c r="O87" i="357"/>
  <c r="O66" i="357"/>
  <c r="O55" i="357"/>
  <c r="AA69" i="357"/>
  <c r="O101" i="357"/>
  <c r="O98" i="357"/>
  <c r="O24" i="357"/>
  <c r="O61" i="357"/>
  <c r="O65" i="357"/>
  <c r="O72" i="357"/>
  <c r="O59" i="357"/>
  <c r="O79" i="357"/>
  <c r="AE35" i="357"/>
  <c r="AE37" i="357" s="1"/>
  <c r="O5" i="357"/>
  <c r="O73" i="357"/>
  <c r="O68" i="357"/>
  <c r="O70" i="357"/>
  <c r="O78" i="357"/>
  <c r="O69" i="357"/>
  <c r="O62" i="357"/>
  <c r="O74" i="357"/>
  <c r="O75" i="357"/>
  <c r="O4" i="357"/>
  <c r="O17" i="357"/>
  <c r="O25" i="357"/>
  <c r="Z58" i="357"/>
  <c r="AB5" i="357"/>
  <c r="AB97" i="357"/>
  <c r="O54" i="357"/>
  <c r="O27" i="357"/>
  <c r="O19" i="357"/>
  <c r="O10" i="357"/>
  <c r="V105" i="357"/>
  <c r="Z60" i="357"/>
  <c r="AA35" i="357"/>
  <c r="AD6" i="357"/>
  <c r="AD5" i="357"/>
  <c r="AA34" i="357" s="1"/>
  <c r="AB34" i="357" s="1"/>
  <c r="AA10" i="357"/>
  <c r="Z14" i="357"/>
  <c r="AK79" i="357"/>
  <c r="S105" i="357"/>
  <c r="AC4" i="357" s="1"/>
  <c r="AE4" i="357" s="1"/>
  <c r="O88" i="357"/>
  <c r="O91" i="357"/>
  <c r="O90" i="357"/>
  <c r="O93" i="357"/>
  <c r="O85" i="357"/>
  <c r="N105" i="357"/>
  <c r="O20" i="357"/>
  <c r="O22" i="357"/>
  <c r="O8" i="357"/>
  <c r="O28" i="357"/>
  <c r="O26" i="357"/>
  <c r="O6" i="357"/>
  <c r="O3" i="357"/>
  <c r="O13" i="357"/>
  <c r="O11" i="357"/>
  <c r="O9" i="357"/>
  <c r="O83" i="357"/>
  <c r="O82" i="357"/>
  <c r="O81" i="357"/>
  <c r="O89" i="357"/>
  <c r="R105" i="357"/>
  <c r="O41" i="357"/>
  <c r="O33" i="357"/>
  <c r="O50" i="357"/>
  <c r="O53" i="357"/>
  <c r="O46" i="357"/>
  <c r="O43" i="357"/>
  <c r="O36" i="357"/>
  <c r="O31" i="357"/>
  <c r="O30" i="357"/>
  <c r="O44" i="357"/>
  <c r="O49" i="357"/>
  <c r="O37" i="357"/>
  <c r="O47" i="357"/>
  <c r="O15" i="357"/>
  <c r="O84" i="357"/>
  <c r="O38" i="357"/>
  <c r="O35" i="357"/>
  <c r="O7" i="357"/>
  <c r="O2" i="357"/>
  <c r="O12" i="357"/>
  <c r="V16" i="356"/>
  <c r="V12" i="356"/>
  <c r="V19" i="356"/>
  <c r="V38" i="356"/>
  <c r="V44" i="356"/>
  <c r="V46" i="356"/>
  <c r="V55" i="356"/>
  <c r="V57" i="356"/>
  <c r="V59" i="356"/>
  <c r="V62" i="356"/>
  <c r="V65" i="356"/>
  <c r="V71" i="356"/>
  <c r="N85" i="356"/>
  <c r="V92" i="356"/>
  <c r="V99" i="356"/>
  <c r="V95" i="356"/>
  <c r="V97" i="356"/>
  <c r="V6" i="356"/>
  <c r="V35" i="356"/>
  <c r="V36" i="356"/>
  <c r="AC44" i="356"/>
  <c r="V61" i="356"/>
  <c r="V66" i="356"/>
  <c r="V76" i="356"/>
  <c r="V82" i="356"/>
  <c r="V86" i="356"/>
  <c r="AG58" i="356"/>
  <c r="V4" i="356"/>
  <c r="V30" i="356"/>
  <c r="AD34" i="356"/>
  <c r="AD36" i="356" s="1"/>
  <c r="V50" i="356"/>
  <c r="V56" i="356"/>
  <c r="V63" i="356"/>
  <c r="V101" i="356"/>
  <c r="V3" i="356"/>
  <c r="V5" i="356"/>
  <c r="V25" i="356"/>
  <c r="AA68" i="356"/>
  <c r="V34" i="356"/>
  <c r="V42" i="356"/>
  <c r="V73" i="356"/>
  <c r="V74" i="356"/>
  <c r="V75" i="356"/>
  <c r="V77" i="356"/>
  <c r="V79" i="356"/>
  <c r="V100" i="356"/>
  <c r="S9" i="356"/>
  <c r="V9" i="356" s="1"/>
  <c r="V52" i="356"/>
  <c r="U105" i="356"/>
  <c r="AD4" i="356" s="1"/>
  <c r="V8" i="356"/>
  <c r="T10" i="356"/>
  <c r="V10" i="356" s="1"/>
  <c r="V15" i="356"/>
  <c r="V21" i="356"/>
  <c r="V28" i="356"/>
  <c r="V37" i="356"/>
  <c r="V48" i="356"/>
  <c r="R50" i="356"/>
  <c r="V68" i="356"/>
  <c r="V72" i="356"/>
  <c r="V80" i="356"/>
  <c r="V87" i="356"/>
  <c r="V89" i="356"/>
  <c r="V90" i="356"/>
  <c r="V91" i="356"/>
  <c r="Y55" i="356"/>
  <c r="AA35" i="356"/>
  <c r="AD6" i="356"/>
  <c r="AD5" i="356"/>
  <c r="AA34" i="356" s="1"/>
  <c r="AB34" i="356" s="1"/>
  <c r="Z60" i="356"/>
  <c r="AB98" i="356"/>
  <c r="AA97" i="356"/>
  <c r="S7" i="356"/>
  <c r="K7" i="356"/>
  <c r="H105" i="356"/>
  <c r="H107" i="356" s="1"/>
  <c r="AB95" i="356"/>
  <c r="O39" i="356"/>
  <c r="O85" i="356"/>
  <c r="O90" i="356"/>
  <c r="O89" i="356"/>
  <c r="O88" i="356"/>
  <c r="N27" i="356"/>
  <c r="O47" i="356" s="1"/>
  <c r="O35" i="356"/>
  <c r="Z10" i="356"/>
  <c r="V13" i="356"/>
  <c r="V14" i="356"/>
  <c r="V20" i="356"/>
  <c r="V22" i="356"/>
  <c r="V26" i="356"/>
  <c r="AE36" i="356"/>
  <c r="AA42" i="356"/>
  <c r="AC42" i="356" s="1"/>
  <c r="R52" i="356"/>
  <c r="R105" i="356" s="1"/>
  <c r="V53" i="356"/>
  <c r="K105" i="356"/>
  <c r="K108" i="356" s="1"/>
  <c r="K110" i="356" s="1"/>
  <c r="AA92" i="356"/>
  <c r="I105" i="356"/>
  <c r="T7" i="356"/>
  <c r="AE34" i="356"/>
  <c r="Q105" i="356"/>
  <c r="S2" i="356"/>
  <c r="AA69" i="356"/>
  <c r="Z16" i="356"/>
  <c r="AA16" i="356" s="1"/>
  <c r="AB94" i="356"/>
  <c r="V18" i="356"/>
  <c r="R54" i="356"/>
  <c r="AB62" i="356"/>
  <c r="AB61" i="356"/>
  <c r="AA62" i="356"/>
  <c r="AA61" i="356"/>
  <c r="AC80" i="356"/>
  <c r="AC81" i="356" s="1"/>
  <c r="N81" i="356"/>
  <c r="O84" i="356" s="1"/>
  <c r="O92" i="356"/>
  <c r="O99" i="356"/>
  <c r="O102" i="356"/>
  <c r="O100" i="356"/>
  <c r="O94" i="356"/>
  <c r="O98" i="356"/>
  <c r="O97" i="356"/>
  <c r="O96" i="356"/>
  <c r="O95" i="356"/>
  <c r="AB93" i="356"/>
  <c r="V27" i="356"/>
  <c r="AB92" i="356"/>
  <c r="V29" i="356"/>
  <c r="O33" i="356"/>
  <c r="V40" i="356"/>
  <c r="O41" i="356"/>
  <c r="N50" i="356"/>
  <c r="V70" i="356"/>
  <c r="O91" i="356"/>
  <c r="O93" i="356"/>
  <c r="V94" i="356"/>
  <c r="O101" i="356"/>
  <c r="AB100" i="356"/>
  <c r="V43" i="356"/>
  <c r="O44" i="356"/>
  <c r="AC58" i="356"/>
  <c r="O86" i="356"/>
  <c r="O87" i="356"/>
  <c r="AC35" i="356"/>
  <c r="V49" i="356"/>
  <c r="V51" i="356"/>
  <c r="N56" i="356"/>
  <c r="O65" i="356" s="1"/>
  <c r="V60" i="356"/>
  <c r="V64" i="356"/>
  <c r="V81" i="356"/>
  <c r="V83" i="356"/>
  <c r="V93" i="356"/>
  <c r="V103" i="356"/>
  <c r="AH4" i="355"/>
  <c r="W7" i="361" l="1"/>
  <c r="X6" i="361"/>
  <c r="W6" i="360"/>
  <c r="X5" i="360"/>
  <c r="W7" i="359"/>
  <c r="X6" i="359"/>
  <c r="AD61" i="358"/>
  <c r="AE61" i="358" s="1"/>
  <c r="AD62" i="358"/>
  <c r="AL53" i="358"/>
  <c r="AH58" i="358"/>
  <c r="AE78" i="358"/>
  <c r="AF78" i="358" s="1"/>
  <c r="AF58" i="358"/>
  <c r="AB81" i="358"/>
  <c r="W5" i="358"/>
  <c r="X4" i="358"/>
  <c r="AF59" i="358"/>
  <c r="AK54" i="358"/>
  <c r="AK55" i="358" s="1"/>
  <c r="AK56" i="358" s="1"/>
  <c r="AE79" i="358"/>
  <c r="AF79" i="358" s="1"/>
  <c r="AL54" i="358"/>
  <c r="AK75" i="358"/>
  <c r="AD81" i="358"/>
  <c r="Z18" i="357"/>
  <c r="Z24" i="357" s="1"/>
  <c r="W2" i="357" s="1"/>
  <c r="AA4" i="357"/>
  <c r="AA3" i="357"/>
  <c r="Z13" i="357"/>
  <c r="AA37" i="357"/>
  <c r="AB37" i="357" s="1"/>
  <c r="AB35" i="357"/>
  <c r="Z59" i="357"/>
  <c r="Z62" i="357" s="1"/>
  <c r="AC5" i="357"/>
  <c r="AE5" i="357" s="1"/>
  <c r="AB78" i="357"/>
  <c r="AD58" i="357"/>
  <c r="AB80" i="357"/>
  <c r="AD80" i="357" s="1"/>
  <c r="AK77" i="357" s="1"/>
  <c r="AL77" i="357" s="1"/>
  <c r="AD60" i="357"/>
  <c r="AL55" i="357" s="1"/>
  <c r="Z53" i="357"/>
  <c r="O50" i="356"/>
  <c r="O45" i="356"/>
  <c r="O68" i="356"/>
  <c r="O62" i="356"/>
  <c r="O70" i="356"/>
  <c r="T105" i="356"/>
  <c r="AB4" i="356" s="1"/>
  <c r="AB5" i="356" s="1"/>
  <c r="O38" i="356"/>
  <c r="O31" i="356"/>
  <c r="O57" i="356"/>
  <c r="O59" i="356"/>
  <c r="O66" i="356"/>
  <c r="O75" i="356"/>
  <c r="O61" i="356"/>
  <c r="O73" i="356"/>
  <c r="O58" i="356"/>
  <c r="O78" i="356"/>
  <c r="AD35" i="356"/>
  <c r="AD37" i="356" s="1"/>
  <c r="S105" i="356"/>
  <c r="AC4" i="356" s="1"/>
  <c r="AB97" i="356"/>
  <c r="V2" i="356"/>
  <c r="O82" i="356"/>
  <c r="O81" i="356"/>
  <c r="O80" i="356"/>
  <c r="O79" i="356"/>
  <c r="O76" i="356"/>
  <c r="O72" i="356"/>
  <c r="O74" i="356"/>
  <c r="O69" i="356"/>
  <c r="O67" i="356"/>
  <c r="O60" i="356"/>
  <c r="O77" i="356"/>
  <c r="O63" i="356"/>
  <c r="O64" i="356"/>
  <c r="O71" i="356"/>
  <c r="O83" i="356"/>
  <c r="N2" i="356"/>
  <c r="AK79" i="356"/>
  <c r="AA10" i="356"/>
  <c r="Z14" i="356"/>
  <c r="O56" i="356"/>
  <c r="O55" i="356"/>
  <c r="O54" i="356"/>
  <c r="O53" i="356"/>
  <c r="O42" i="356"/>
  <c r="O34" i="356"/>
  <c r="O46" i="356"/>
  <c r="O30" i="356"/>
  <c r="O49" i="356"/>
  <c r="O43" i="356"/>
  <c r="O32" i="356"/>
  <c r="O36" i="356"/>
  <c r="AD60" i="356"/>
  <c r="AB80" i="356"/>
  <c r="AD80" i="356" s="1"/>
  <c r="AK77" i="356" s="1"/>
  <c r="AL77" i="356" s="1"/>
  <c r="Z53" i="356"/>
  <c r="AC37" i="356"/>
  <c r="V7" i="356"/>
  <c r="O37" i="356"/>
  <c r="AB35" i="356"/>
  <c r="AA37" i="356"/>
  <c r="AB37" i="356" s="1"/>
  <c r="AF60" i="352"/>
  <c r="AF58" i="352"/>
  <c r="AF59" i="352"/>
  <c r="K2" i="355"/>
  <c r="Q2" i="355"/>
  <c r="S2" i="355"/>
  <c r="T2" i="355"/>
  <c r="U2" i="355"/>
  <c r="K3" i="355"/>
  <c r="Q3" i="355"/>
  <c r="T3" i="355" s="1"/>
  <c r="S3" i="355"/>
  <c r="U3" i="355"/>
  <c r="AE3" i="355"/>
  <c r="K4" i="355"/>
  <c r="Q4" i="355"/>
  <c r="T4" i="355" s="1"/>
  <c r="S4" i="355"/>
  <c r="U4" i="355"/>
  <c r="K5" i="355"/>
  <c r="Q5" i="355"/>
  <c r="T5" i="355" s="1"/>
  <c r="S5" i="355"/>
  <c r="U5" i="355"/>
  <c r="K6" i="355"/>
  <c r="Q6" i="355"/>
  <c r="S6" i="355" s="1"/>
  <c r="T6" i="355"/>
  <c r="U6" i="355"/>
  <c r="Z6" i="355"/>
  <c r="H7" i="355"/>
  <c r="I7" i="355"/>
  <c r="Q7" i="355"/>
  <c r="S7" i="355" s="1"/>
  <c r="T7" i="355"/>
  <c r="U7" i="355"/>
  <c r="Z7" i="355"/>
  <c r="K8" i="355"/>
  <c r="Q8" i="355"/>
  <c r="S8" i="355" s="1"/>
  <c r="T8" i="355"/>
  <c r="U8" i="355"/>
  <c r="Z8" i="355"/>
  <c r="K9" i="355"/>
  <c r="Q9" i="355"/>
  <c r="S9" i="355" s="1"/>
  <c r="U9" i="355"/>
  <c r="AA9" i="355"/>
  <c r="K10" i="355"/>
  <c r="Q10" i="355"/>
  <c r="T10" i="355" s="1"/>
  <c r="U10" i="355"/>
  <c r="AB10" i="355"/>
  <c r="AC61" i="355" s="1"/>
  <c r="AA68" i="355" s="1"/>
  <c r="K11" i="355"/>
  <c r="Q11" i="355"/>
  <c r="S11" i="355" s="1"/>
  <c r="T11" i="355"/>
  <c r="U11" i="355"/>
  <c r="AA11" i="355"/>
  <c r="K12" i="355"/>
  <c r="Q12" i="355"/>
  <c r="S12" i="355" s="1"/>
  <c r="T12" i="355"/>
  <c r="U12" i="355"/>
  <c r="AA12" i="355"/>
  <c r="AB12" i="355"/>
  <c r="AC12" i="355"/>
  <c r="K13" i="355"/>
  <c r="Q13" i="355"/>
  <c r="S13" i="355" s="1"/>
  <c r="T13" i="355"/>
  <c r="U13" i="355"/>
  <c r="K14" i="355"/>
  <c r="Q14" i="355"/>
  <c r="S14" i="355" s="1"/>
  <c r="T14" i="355"/>
  <c r="U14" i="355"/>
  <c r="K15" i="355"/>
  <c r="Q15" i="355"/>
  <c r="S15" i="355" s="1"/>
  <c r="T15" i="355"/>
  <c r="U15" i="355"/>
  <c r="Z15" i="355"/>
  <c r="Z16" i="355" s="1"/>
  <c r="AA16" i="355" s="1"/>
  <c r="K16" i="355"/>
  <c r="S16" i="355"/>
  <c r="T16" i="355"/>
  <c r="U16" i="355"/>
  <c r="K17" i="355"/>
  <c r="Q17" i="355"/>
  <c r="T17" i="355" s="1"/>
  <c r="S17" i="355"/>
  <c r="U17" i="355"/>
  <c r="K18" i="355"/>
  <c r="Q18" i="355"/>
  <c r="T18" i="355" s="1"/>
  <c r="AB94" i="355" s="1"/>
  <c r="S18" i="355"/>
  <c r="AB99" i="355" s="1"/>
  <c r="U18" i="355"/>
  <c r="K19" i="355"/>
  <c r="Q19" i="355"/>
  <c r="S19" i="355" s="1"/>
  <c r="T19" i="355"/>
  <c r="U19" i="355"/>
  <c r="K20" i="355"/>
  <c r="Q20" i="355"/>
  <c r="S20" i="355"/>
  <c r="T20" i="355"/>
  <c r="U20" i="355"/>
  <c r="K21" i="355"/>
  <c r="Q21" i="355"/>
  <c r="S21" i="355"/>
  <c r="T21" i="355"/>
  <c r="U21" i="355"/>
  <c r="K22" i="355"/>
  <c r="Q22" i="355"/>
  <c r="S22" i="355" s="1"/>
  <c r="T22" i="355"/>
  <c r="U22" i="355"/>
  <c r="K23" i="355"/>
  <c r="Q23" i="355"/>
  <c r="S23" i="355"/>
  <c r="T23" i="355"/>
  <c r="U23" i="355"/>
  <c r="K24" i="355"/>
  <c r="Q24" i="355"/>
  <c r="S24" i="355"/>
  <c r="T24" i="355"/>
  <c r="U24" i="355"/>
  <c r="K25" i="355"/>
  <c r="Q25" i="355"/>
  <c r="S25" i="355"/>
  <c r="T25" i="355"/>
  <c r="U25" i="355"/>
  <c r="K26" i="355"/>
  <c r="Q26" i="355"/>
  <c r="U26" i="355" s="1"/>
  <c r="S26" i="355"/>
  <c r="T26" i="355"/>
  <c r="K27" i="355"/>
  <c r="Q27" i="355"/>
  <c r="S27" i="355"/>
  <c r="T27" i="355"/>
  <c r="U27" i="355"/>
  <c r="K28" i="355"/>
  <c r="Q28" i="355"/>
  <c r="S28" i="355"/>
  <c r="T28" i="355"/>
  <c r="U28" i="355"/>
  <c r="K29" i="355"/>
  <c r="Q29" i="355"/>
  <c r="S29" i="355"/>
  <c r="T29" i="355"/>
  <c r="U29" i="355"/>
  <c r="K30" i="355"/>
  <c r="Q30" i="355"/>
  <c r="S30" i="355"/>
  <c r="T30" i="355"/>
  <c r="U30" i="355"/>
  <c r="Z30" i="355"/>
  <c r="Z10" i="355" s="1"/>
  <c r="K31" i="355"/>
  <c r="Q31" i="355"/>
  <c r="S31" i="355"/>
  <c r="T31" i="355"/>
  <c r="U31" i="355"/>
  <c r="K32" i="355"/>
  <c r="Q32" i="355"/>
  <c r="S32" i="355"/>
  <c r="T32" i="355"/>
  <c r="U32" i="355"/>
  <c r="K33" i="355"/>
  <c r="Q33" i="355"/>
  <c r="S33" i="355"/>
  <c r="T33" i="355"/>
  <c r="U33" i="355"/>
  <c r="K34" i="355"/>
  <c r="Q34" i="355"/>
  <c r="S34" i="355"/>
  <c r="T34" i="355"/>
  <c r="U34" i="355"/>
  <c r="AC34" i="355"/>
  <c r="K35" i="355"/>
  <c r="Q35" i="355"/>
  <c r="S35" i="355"/>
  <c r="T35" i="355"/>
  <c r="U35" i="355"/>
  <c r="Z35" i="355"/>
  <c r="K36" i="355"/>
  <c r="Q36" i="355"/>
  <c r="S36" i="355"/>
  <c r="V36" i="355" s="1"/>
  <c r="T36" i="355"/>
  <c r="U36" i="355"/>
  <c r="Z36" i="355"/>
  <c r="AA36" i="355" s="1"/>
  <c r="K37" i="355"/>
  <c r="Q37" i="355"/>
  <c r="S37" i="355"/>
  <c r="V37" i="355" s="1"/>
  <c r="T37" i="355"/>
  <c r="U37" i="355"/>
  <c r="K38" i="355"/>
  <c r="Q38" i="355"/>
  <c r="S38" i="355" s="1"/>
  <c r="T38" i="355"/>
  <c r="U38" i="355"/>
  <c r="K39" i="355"/>
  <c r="Q39" i="355"/>
  <c r="S39" i="355"/>
  <c r="T39" i="355"/>
  <c r="U39" i="355"/>
  <c r="K40" i="355"/>
  <c r="S40" i="355"/>
  <c r="T40" i="355"/>
  <c r="U40" i="355"/>
  <c r="K41" i="355"/>
  <c r="Q41" i="355"/>
  <c r="S41" i="355" s="1"/>
  <c r="T41" i="355"/>
  <c r="U41" i="355"/>
  <c r="K42" i="355"/>
  <c r="Q42" i="355"/>
  <c r="S42" i="355"/>
  <c r="T42" i="355"/>
  <c r="U42" i="355"/>
  <c r="AA42" i="355"/>
  <c r="K43" i="355"/>
  <c r="Q43" i="355"/>
  <c r="S43" i="355"/>
  <c r="T43" i="355"/>
  <c r="U43" i="355"/>
  <c r="AA43" i="355"/>
  <c r="AB43" i="355"/>
  <c r="K44" i="355"/>
  <c r="Q44" i="355"/>
  <c r="S44" i="355"/>
  <c r="T44" i="355"/>
  <c r="U44" i="355"/>
  <c r="AA44" i="355"/>
  <c r="AB44" i="355"/>
  <c r="K45" i="355"/>
  <c r="Q45" i="355"/>
  <c r="S45" i="355"/>
  <c r="T45" i="355"/>
  <c r="U45" i="355"/>
  <c r="AA45" i="355"/>
  <c r="AB45" i="355"/>
  <c r="K46" i="355"/>
  <c r="Q46" i="355"/>
  <c r="S46" i="355" s="1"/>
  <c r="T46" i="355"/>
  <c r="U46" i="355"/>
  <c r="K47" i="355"/>
  <c r="Q47" i="355"/>
  <c r="S47" i="355"/>
  <c r="T47" i="355"/>
  <c r="U47" i="355"/>
  <c r="K48" i="355"/>
  <c r="Q48" i="355"/>
  <c r="S48" i="355"/>
  <c r="T48" i="355"/>
  <c r="U48" i="355"/>
  <c r="Y48" i="355"/>
  <c r="Z48" i="355" s="1"/>
  <c r="K49" i="355"/>
  <c r="Q49" i="355"/>
  <c r="S49" i="355"/>
  <c r="T49" i="355"/>
  <c r="U49" i="355"/>
  <c r="Y49" i="355"/>
  <c r="Z49" i="355" s="1"/>
  <c r="K50" i="355"/>
  <c r="Q50" i="355"/>
  <c r="S50" i="355"/>
  <c r="T50" i="355"/>
  <c r="U50" i="355"/>
  <c r="AB50" i="355"/>
  <c r="K51" i="355"/>
  <c r="Q51" i="355"/>
  <c r="S51" i="355"/>
  <c r="T51" i="355"/>
  <c r="U51" i="355"/>
  <c r="Y51" i="355"/>
  <c r="K52" i="355"/>
  <c r="Q52" i="355"/>
  <c r="S52" i="355"/>
  <c r="T52" i="355"/>
  <c r="U52" i="355"/>
  <c r="K53" i="355"/>
  <c r="Q53" i="355"/>
  <c r="S53" i="355" s="1"/>
  <c r="T53" i="355"/>
  <c r="U53" i="355"/>
  <c r="Y53" i="355"/>
  <c r="K54" i="355"/>
  <c r="Q54" i="355"/>
  <c r="S54" i="355"/>
  <c r="T54" i="355"/>
  <c r="U54" i="355"/>
  <c r="K55" i="355"/>
  <c r="Q55" i="355"/>
  <c r="S55" i="355"/>
  <c r="T55" i="355"/>
  <c r="U55" i="355"/>
  <c r="K56" i="355"/>
  <c r="Q56" i="355"/>
  <c r="S56" i="355"/>
  <c r="T56" i="355"/>
  <c r="U56" i="355"/>
  <c r="K57" i="355"/>
  <c r="Q57" i="355"/>
  <c r="S57" i="355"/>
  <c r="T57" i="355"/>
  <c r="U57" i="355"/>
  <c r="K58" i="355"/>
  <c r="Q58" i="355"/>
  <c r="S58" i="355"/>
  <c r="T58" i="355"/>
  <c r="U58" i="355"/>
  <c r="AA58" i="355"/>
  <c r="AC78" i="355" s="1"/>
  <c r="AB58" i="355"/>
  <c r="AM58" i="355"/>
  <c r="K59" i="355"/>
  <c r="Q59" i="355"/>
  <c r="S59" i="355"/>
  <c r="T59" i="355"/>
  <c r="U59" i="355"/>
  <c r="AA59" i="355"/>
  <c r="AB59" i="355"/>
  <c r="AB62" i="355" s="1"/>
  <c r="K60" i="355"/>
  <c r="Q60" i="355"/>
  <c r="S60" i="355"/>
  <c r="T60" i="355"/>
  <c r="U60" i="355"/>
  <c r="AA60" i="355"/>
  <c r="AC80" i="355" s="1"/>
  <c r="K61" i="355"/>
  <c r="Q61" i="355"/>
  <c r="S61" i="355"/>
  <c r="T61" i="355"/>
  <c r="U61" i="355"/>
  <c r="AB61" i="355"/>
  <c r="K62" i="355"/>
  <c r="Q62" i="355"/>
  <c r="S62" i="355"/>
  <c r="T62" i="355"/>
  <c r="U62" i="355"/>
  <c r="AA62" i="355"/>
  <c r="AC62" i="355"/>
  <c r="K63" i="355"/>
  <c r="Q63" i="355"/>
  <c r="S63" i="355"/>
  <c r="T63" i="355"/>
  <c r="U63" i="355"/>
  <c r="K64" i="355"/>
  <c r="Q64" i="355"/>
  <c r="S64" i="355"/>
  <c r="T64" i="355"/>
  <c r="U64" i="355"/>
  <c r="K65" i="355"/>
  <c r="Q65" i="355"/>
  <c r="S65" i="355"/>
  <c r="T65" i="355"/>
  <c r="U65" i="355"/>
  <c r="K66" i="355"/>
  <c r="Q66" i="355"/>
  <c r="S66" i="355"/>
  <c r="T66" i="355"/>
  <c r="U66" i="355"/>
  <c r="K67" i="355"/>
  <c r="Q67" i="355"/>
  <c r="S67" i="355"/>
  <c r="T67" i="355"/>
  <c r="U67" i="355"/>
  <c r="AA67" i="355"/>
  <c r="K68" i="355"/>
  <c r="Q68" i="355"/>
  <c r="S68" i="355"/>
  <c r="T68" i="355"/>
  <c r="U68" i="355"/>
  <c r="K69" i="355"/>
  <c r="Q69" i="355"/>
  <c r="S69" i="355"/>
  <c r="T69" i="355"/>
  <c r="U69" i="355"/>
  <c r="K70" i="355"/>
  <c r="Q70" i="355"/>
  <c r="S70" i="355"/>
  <c r="T70" i="355"/>
  <c r="U70" i="355"/>
  <c r="K71" i="355"/>
  <c r="Q71" i="355"/>
  <c r="S71" i="355"/>
  <c r="T71" i="355"/>
  <c r="U71" i="355"/>
  <c r="K72" i="355"/>
  <c r="Q72" i="355"/>
  <c r="S72" i="355"/>
  <c r="T72" i="355"/>
  <c r="U72" i="355"/>
  <c r="K73" i="355"/>
  <c r="Q73" i="355"/>
  <c r="S73" i="355"/>
  <c r="T73" i="355"/>
  <c r="U73" i="355"/>
  <c r="Z73" i="355"/>
  <c r="AD73" i="355"/>
  <c r="K74" i="355"/>
  <c r="Q74" i="355"/>
  <c r="S74" i="355"/>
  <c r="T74" i="355"/>
  <c r="U74" i="355"/>
  <c r="K75" i="355"/>
  <c r="Q75" i="355"/>
  <c r="S75" i="355"/>
  <c r="T75" i="355"/>
  <c r="U75" i="355"/>
  <c r="K76" i="355"/>
  <c r="Q76" i="355"/>
  <c r="S76" i="355"/>
  <c r="T76" i="355"/>
  <c r="U76" i="355"/>
  <c r="K77" i="355"/>
  <c r="Q77" i="355"/>
  <c r="S77" i="355"/>
  <c r="T77" i="355"/>
  <c r="U77" i="355"/>
  <c r="K78" i="355"/>
  <c r="Q78" i="355"/>
  <c r="S78" i="355"/>
  <c r="T78" i="355"/>
  <c r="U78" i="355"/>
  <c r="AI78" i="355"/>
  <c r="K79" i="355"/>
  <c r="Q79" i="355"/>
  <c r="S79" i="355"/>
  <c r="T79" i="355"/>
  <c r="U79" i="355"/>
  <c r="AC79" i="355"/>
  <c r="AI79" i="355"/>
  <c r="K80" i="355"/>
  <c r="Q80" i="355"/>
  <c r="S80" i="355"/>
  <c r="T80" i="355"/>
  <c r="U80" i="355"/>
  <c r="AI80" i="355"/>
  <c r="K81" i="355"/>
  <c r="Q81" i="355"/>
  <c r="S81" i="355"/>
  <c r="T81" i="355"/>
  <c r="U81" i="355"/>
  <c r="Z81" i="355"/>
  <c r="AA81" i="355"/>
  <c r="K82" i="355"/>
  <c r="Q82" i="355"/>
  <c r="S82" i="355"/>
  <c r="V82" i="355" s="1"/>
  <c r="T82" i="355"/>
  <c r="U82" i="355"/>
  <c r="K83" i="355"/>
  <c r="Q83" i="355"/>
  <c r="S83" i="355"/>
  <c r="T83" i="355"/>
  <c r="U83" i="355"/>
  <c r="V83" i="355"/>
  <c r="K84" i="355"/>
  <c r="Q84" i="355"/>
  <c r="S84" i="355"/>
  <c r="T84" i="355"/>
  <c r="U84" i="355"/>
  <c r="K85" i="355"/>
  <c r="Q85" i="355"/>
  <c r="S85" i="355"/>
  <c r="V85" i="355" s="1"/>
  <c r="T85" i="355"/>
  <c r="U85" i="355"/>
  <c r="K86" i="355"/>
  <c r="Q86" i="355"/>
  <c r="S86" i="355"/>
  <c r="T86" i="355"/>
  <c r="U86" i="355"/>
  <c r="AA86" i="355"/>
  <c r="AB86" i="355" s="1"/>
  <c r="AC86" i="355" s="1"/>
  <c r="AD86" i="355" s="1"/>
  <c r="AD87" i="355" s="1"/>
  <c r="AD88" i="355" s="1"/>
  <c r="AF86" i="355"/>
  <c r="AG86" i="355" s="1"/>
  <c r="AH86" i="355" s="1"/>
  <c r="AH87" i="355" s="1"/>
  <c r="AH88" i="355" s="1"/>
  <c r="K87" i="355"/>
  <c r="Q87" i="355"/>
  <c r="S87" i="355"/>
  <c r="T87" i="355"/>
  <c r="U87" i="355"/>
  <c r="Y87" i="355"/>
  <c r="AA87" i="355"/>
  <c r="AE87" i="355"/>
  <c r="K88" i="355"/>
  <c r="Q88" i="355"/>
  <c r="S88" i="355"/>
  <c r="T88" i="355"/>
  <c r="U88" i="355"/>
  <c r="K89" i="355"/>
  <c r="Q89" i="355"/>
  <c r="S89" i="355"/>
  <c r="T89" i="355"/>
  <c r="U89" i="355"/>
  <c r="K90" i="355"/>
  <c r="Q90" i="355"/>
  <c r="S90" i="355"/>
  <c r="T90" i="355"/>
  <c r="U90" i="355"/>
  <c r="K91" i="355"/>
  <c r="Q91" i="355"/>
  <c r="S91" i="355"/>
  <c r="T91" i="355"/>
  <c r="U91" i="355"/>
  <c r="K92" i="355"/>
  <c r="Q92" i="355"/>
  <c r="S92" i="355"/>
  <c r="T92" i="355"/>
  <c r="U92" i="355"/>
  <c r="AA92" i="355"/>
  <c r="K93" i="355"/>
  <c r="Q93" i="355"/>
  <c r="S93" i="355"/>
  <c r="T93" i="355"/>
  <c r="U93" i="355"/>
  <c r="AA93" i="355"/>
  <c r="K94" i="355"/>
  <c r="Q94" i="355"/>
  <c r="S94" i="355"/>
  <c r="T94" i="355"/>
  <c r="U94" i="355"/>
  <c r="AA94" i="355"/>
  <c r="K95" i="355"/>
  <c r="Q95" i="355"/>
  <c r="S95" i="355"/>
  <c r="T95" i="355"/>
  <c r="U95" i="355"/>
  <c r="AA95" i="355"/>
  <c r="K96" i="355"/>
  <c r="Q96" i="355"/>
  <c r="S96" i="355"/>
  <c r="T96" i="355"/>
  <c r="U96" i="355"/>
  <c r="K97" i="355"/>
  <c r="Q97" i="355"/>
  <c r="S97" i="355"/>
  <c r="T97" i="355"/>
  <c r="U97" i="355"/>
  <c r="AA97" i="355"/>
  <c r="K98" i="355"/>
  <c r="Q98" i="355"/>
  <c r="S98" i="355"/>
  <c r="T98" i="355"/>
  <c r="U98" i="355"/>
  <c r="AA98" i="355"/>
  <c r="K99" i="355"/>
  <c r="Q99" i="355"/>
  <c r="S99" i="355"/>
  <c r="T99" i="355"/>
  <c r="U99" i="355"/>
  <c r="AA99" i="355"/>
  <c r="K100" i="355"/>
  <c r="Q100" i="355"/>
  <c r="S100" i="355"/>
  <c r="T100" i="355"/>
  <c r="U100" i="355"/>
  <c r="AA100" i="355"/>
  <c r="K101" i="355"/>
  <c r="Q101" i="355"/>
  <c r="S101" i="355"/>
  <c r="T101" i="355"/>
  <c r="U101" i="355"/>
  <c r="K102" i="355"/>
  <c r="Q102" i="355"/>
  <c r="S102" i="355"/>
  <c r="T102" i="355"/>
  <c r="U102" i="355"/>
  <c r="AA102" i="355"/>
  <c r="K103" i="355"/>
  <c r="Q103" i="355"/>
  <c r="S103" i="355"/>
  <c r="T103" i="355"/>
  <c r="U103" i="355"/>
  <c r="H105" i="355"/>
  <c r="H107" i="355" s="1"/>
  <c r="I105" i="355"/>
  <c r="J105" i="355"/>
  <c r="M105" i="355"/>
  <c r="P105" i="355"/>
  <c r="I113" i="355"/>
  <c r="U123" i="355"/>
  <c r="X7" i="361" l="1"/>
  <c r="W8" i="361"/>
  <c r="X6" i="360"/>
  <c r="W7" i="360"/>
  <c r="X7" i="359"/>
  <c r="W8" i="359"/>
  <c r="AF61" i="358"/>
  <c r="AL56" i="358"/>
  <c r="AM56" i="358"/>
  <c r="AF81" i="358"/>
  <c r="AE81" i="358"/>
  <c r="X5" i="358"/>
  <c r="W6" i="358"/>
  <c r="AK78" i="358"/>
  <c r="AL79" i="358" s="1"/>
  <c r="AL75" i="358"/>
  <c r="AL78" i="358" s="1"/>
  <c r="Z61" i="357"/>
  <c r="AK51" i="357"/>
  <c r="AL51" i="357" s="1"/>
  <c r="AJ51" i="357" s="1"/>
  <c r="AL53" i="357"/>
  <c r="AE80" i="357"/>
  <c r="AF80" i="357" s="1"/>
  <c r="AF60" i="357"/>
  <c r="AD78" i="357"/>
  <c r="X2" i="357"/>
  <c r="W3" i="357"/>
  <c r="AB17" i="357"/>
  <c r="AB79" i="357"/>
  <c r="AD79" i="357" s="1"/>
  <c r="AK76" i="357" s="1"/>
  <c r="AL76" i="357" s="1"/>
  <c r="AD59" i="357"/>
  <c r="AA5" i="357"/>
  <c r="AF3" i="357"/>
  <c r="AG3" i="357"/>
  <c r="AG4" i="357"/>
  <c r="AH4" i="357" s="1"/>
  <c r="AF4" i="357"/>
  <c r="L2" i="357"/>
  <c r="L3" i="357" s="1"/>
  <c r="L4" i="357" s="1"/>
  <c r="L5" i="357" s="1"/>
  <c r="L6" i="357" s="1"/>
  <c r="L7" i="357" s="1"/>
  <c r="L8" i="357" s="1"/>
  <c r="L9" i="357" s="1"/>
  <c r="L10" i="357" s="1"/>
  <c r="L11" i="357" s="1"/>
  <c r="L12" i="357" s="1"/>
  <c r="L13" i="357" s="1"/>
  <c r="L14" i="357" s="1"/>
  <c r="L15" i="357" s="1"/>
  <c r="L16" i="357" s="1"/>
  <c r="L17" i="357" s="1"/>
  <c r="L18" i="357" s="1"/>
  <c r="L19" i="357" s="1"/>
  <c r="L20" i="357" s="1"/>
  <c r="L21" i="357" s="1"/>
  <c r="L22" i="357" s="1"/>
  <c r="L23" i="357" s="1"/>
  <c r="L24" i="357" s="1"/>
  <c r="L25" i="357" s="1"/>
  <c r="L26" i="357" s="1"/>
  <c r="L27" i="357" s="1"/>
  <c r="L28" i="357" s="1"/>
  <c r="L29" i="357" s="1"/>
  <c r="L30" i="357" s="1"/>
  <c r="L31" i="357" s="1"/>
  <c r="L32" i="357" s="1"/>
  <c r="L33" i="357" s="1"/>
  <c r="L34" i="357" s="1"/>
  <c r="L35" i="357" s="1"/>
  <c r="L36" i="357" s="1"/>
  <c r="L37" i="357" s="1"/>
  <c r="L38" i="357" s="1"/>
  <c r="L39" i="357" s="1"/>
  <c r="L40" i="357" s="1"/>
  <c r="L41" i="357" s="1"/>
  <c r="L42" i="357" s="1"/>
  <c r="L43" i="357" s="1"/>
  <c r="L44" i="357" s="1"/>
  <c r="L45" i="357" s="1"/>
  <c r="L46" i="357" s="1"/>
  <c r="L47" i="357" s="1"/>
  <c r="L48" i="357" s="1"/>
  <c r="L49" i="357" s="1"/>
  <c r="L50" i="357" s="1"/>
  <c r="L51" i="357" s="1"/>
  <c r="L52" i="357" s="1"/>
  <c r="L53" i="357" s="1"/>
  <c r="L54" i="357" s="1"/>
  <c r="L55" i="357" s="1"/>
  <c r="L56" i="357" s="1"/>
  <c r="L57" i="357" s="1"/>
  <c r="L58" i="357" s="1"/>
  <c r="L59" i="357" s="1"/>
  <c r="L60" i="357" s="1"/>
  <c r="L61" i="357" s="1"/>
  <c r="L62" i="357" s="1"/>
  <c r="L63" i="357" s="1"/>
  <c r="L64" i="357" s="1"/>
  <c r="L65" i="357" s="1"/>
  <c r="L66" i="357" s="1"/>
  <c r="L67" i="357" s="1"/>
  <c r="L68" i="357" s="1"/>
  <c r="L69" i="357" s="1"/>
  <c r="L70" i="357" s="1"/>
  <c r="L71" i="357" s="1"/>
  <c r="L72" i="357" s="1"/>
  <c r="L73" i="357" s="1"/>
  <c r="L74" i="357" s="1"/>
  <c r="L75" i="357" s="1"/>
  <c r="L76" i="357" s="1"/>
  <c r="L77" i="357" s="1"/>
  <c r="L78" i="357" s="1"/>
  <c r="L79" i="357" s="1"/>
  <c r="L80" i="357" s="1"/>
  <c r="L81" i="357" s="1"/>
  <c r="L82" i="357" s="1"/>
  <c r="L83" i="357" s="1"/>
  <c r="L84" i="357" s="1"/>
  <c r="L85" i="357" s="1"/>
  <c r="L86" i="357" s="1"/>
  <c r="L87" i="357" s="1"/>
  <c r="L88" i="357" s="1"/>
  <c r="L89" i="357" s="1"/>
  <c r="L90" i="357" s="1"/>
  <c r="L91" i="357" s="1"/>
  <c r="L92" i="357" s="1"/>
  <c r="L93" i="357" s="1"/>
  <c r="L94" i="357" s="1"/>
  <c r="L95" i="357" s="1"/>
  <c r="L96" i="357" s="1"/>
  <c r="L97" i="357" s="1"/>
  <c r="L98" i="357" s="1"/>
  <c r="L99" i="357" s="1"/>
  <c r="L100" i="357" s="1"/>
  <c r="L101" i="357" s="1"/>
  <c r="L102" i="357" s="1"/>
  <c r="L103" i="357" s="1"/>
  <c r="L105" i="357" s="1"/>
  <c r="AH58" i="357"/>
  <c r="AF58" i="357"/>
  <c r="AD62" i="357"/>
  <c r="AE78" i="357"/>
  <c r="Z4" i="357"/>
  <c r="Z3" i="357"/>
  <c r="V105" i="356"/>
  <c r="Z58" i="356"/>
  <c r="AE4" i="356"/>
  <c r="AE35" i="356"/>
  <c r="AE37" i="356" s="1"/>
  <c r="AE80" i="356"/>
  <c r="AF80" i="356" s="1"/>
  <c r="AF60" i="356"/>
  <c r="Z13" i="356"/>
  <c r="AA3" i="356"/>
  <c r="AA4" i="356"/>
  <c r="Z18" i="356"/>
  <c r="Z24" i="356" s="1"/>
  <c r="W2" i="356" s="1"/>
  <c r="Z59" i="356"/>
  <c r="Z61" i="356" s="1"/>
  <c r="AC5" i="356"/>
  <c r="AE5" i="356" s="1"/>
  <c r="N105" i="356"/>
  <c r="O29" i="356"/>
  <c r="O28" i="356"/>
  <c r="O14" i="356"/>
  <c r="O10" i="356"/>
  <c r="O15" i="356"/>
  <c r="O26" i="356"/>
  <c r="O24" i="356"/>
  <c r="O12" i="356"/>
  <c r="O20" i="356"/>
  <c r="O5" i="356"/>
  <c r="O4" i="356"/>
  <c r="O16" i="356"/>
  <c r="O3" i="356"/>
  <c r="O27" i="356"/>
  <c r="O13" i="356"/>
  <c r="O11" i="356"/>
  <c r="O6" i="356"/>
  <c r="O8" i="356"/>
  <c r="O25" i="356"/>
  <c r="O17" i="356"/>
  <c r="O2" i="356"/>
  <c r="O9" i="356"/>
  <c r="O22" i="356"/>
  <c r="O19" i="356"/>
  <c r="O7" i="356"/>
  <c r="AB78" i="356"/>
  <c r="AD58" i="356"/>
  <c r="AH58" i="356" s="1"/>
  <c r="V91" i="355"/>
  <c r="R54" i="355"/>
  <c r="V45" i="355"/>
  <c r="V24" i="355"/>
  <c r="V8" i="355"/>
  <c r="V4" i="355"/>
  <c r="AC58" i="355"/>
  <c r="V30" i="355"/>
  <c r="V76" i="355"/>
  <c r="V54" i="355"/>
  <c r="AC43" i="355"/>
  <c r="Z37" i="355"/>
  <c r="V13" i="355"/>
  <c r="S10" i="355"/>
  <c r="V10" i="355" s="1"/>
  <c r="V28" i="355"/>
  <c r="V74" i="355"/>
  <c r="V55" i="355"/>
  <c r="AC44" i="355"/>
  <c r="V44" i="355"/>
  <c r="V27" i="355"/>
  <c r="AA15" i="355"/>
  <c r="V15" i="355"/>
  <c r="V12" i="355"/>
  <c r="N50" i="355"/>
  <c r="AB102" i="355"/>
  <c r="AB93" i="355"/>
  <c r="V97" i="355"/>
  <c r="V95" i="355"/>
  <c r="V94" i="355"/>
  <c r="V93" i="355"/>
  <c r="V90" i="355"/>
  <c r="AB47" i="355"/>
  <c r="AC45" i="355"/>
  <c r="V41" i="355"/>
  <c r="V35" i="355"/>
  <c r="V29" i="355"/>
  <c r="V19" i="355"/>
  <c r="V6" i="355"/>
  <c r="AC81" i="355"/>
  <c r="Q105" i="355"/>
  <c r="S105" i="355"/>
  <c r="AC4" i="355" s="1"/>
  <c r="AC5" i="355" s="1"/>
  <c r="U105" i="355"/>
  <c r="AD4" i="355" s="1"/>
  <c r="Z60" i="355" s="1"/>
  <c r="V88" i="355"/>
  <c r="V80" i="355"/>
  <c r="V72" i="355"/>
  <c r="V66" i="355"/>
  <c r="V64" i="355"/>
  <c r="V53" i="355"/>
  <c r="V32" i="355"/>
  <c r="V99" i="355"/>
  <c r="V81" i="355"/>
  <c r="V70" i="355"/>
  <c r="V68" i="355"/>
  <c r="V61" i="355"/>
  <c r="V60" i="355"/>
  <c r="V56" i="355"/>
  <c r="V51" i="355"/>
  <c r="R50" i="355"/>
  <c r="V47" i="355"/>
  <c r="V40" i="355"/>
  <c r="AB36" i="355"/>
  <c r="V5" i="355"/>
  <c r="V3" i="355"/>
  <c r="V103" i="355"/>
  <c r="V102" i="355"/>
  <c r="V101" i="355"/>
  <c r="V100" i="355"/>
  <c r="V84" i="355"/>
  <c r="X84" i="355" s="1"/>
  <c r="V79" i="355"/>
  <c r="V77" i="355"/>
  <c r="V69" i="355"/>
  <c r="V67" i="355"/>
  <c r="V63" i="355"/>
  <c r="AA61" i="355"/>
  <c r="R52" i="355"/>
  <c r="V48" i="355"/>
  <c r="V33" i="355"/>
  <c r="AA69" i="355"/>
  <c r="T9" i="355"/>
  <c r="T105" i="355" s="1"/>
  <c r="AB4" i="355" s="1"/>
  <c r="Z59" i="355"/>
  <c r="AD6" i="355"/>
  <c r="V96" i="355"/>
  <c r="N94" i="355"/>
  <c r="V43" i="355"/>
  <c r="V39" i="355"/>
  <c r="AB95" i="355"/>
  <c r="AD34" i="355"/>
  <c r="AC35" i="355"/>
  <c r="V98" i="355"/>
  <c r="V87" i="355"/>
  <c r="V78" i="355"/>
  <c r="V57" i="355"/>
  <c r="V23" i="355"/>
  <c r="AB98" i="355"/>
  <c r="AA10" i="355"/>
  <c r="Z14" i="355"/>
  <c r="AK79" i="355"/>
  <c r="AB97" i="355"/>
  <c r="N85" i="355"/>
  <c r="O88" i="355" s="1"/>
  <c r="V89" i="355"/>
  <c r="V86" i="355"/>
  <c r="V65" i="355"/>
  <c r="V92" i="355"/>
  <c r="N81" i="355"/>
  <c r="O82" i="355" s="1"/>
  <c r="N56" i="355"/>
  <c r="O71" i="355" s="1"/>
  <c r="AC36" i="355"/>
  <c r="V11" i="355"/>
  <c r="V59" i="355"/>
  <c r="V52" i="355"/>
  <c r="V46" i="355"/>
  <c r="N27" i="355"/>
  <c r="O56" i="355" s="1"/>
  <c r="V22" i="355"/>
  <c r="V7" i="355"/>
  <c r="V75" i="355"/>
  <c r="V73" i="355"/>
  <c r="V71" i="355"/>
  <c r="V62" i="355"/>
  <c r="V58" i="355"/>
  <c r="V50" i="355"/>
  <c r="V49" i="355"/>
  <c r="V38" i="355"/>
  <c r="Y55" i="355"/>
  <c r="Z72" i="355"/>
  <c r="V42" i="355"/>
  <c r="V34" i="355"/>
  <c r="V25" i="355"/>
  <c r="V20" i="355"/>
  <c r="V31" i="355"/>
  <c r="V26" i="355"/>
  <c r="V21" i="355"/>
  <c r="V18" i="355"/>
  <c r="V17" i="355"/>
  <c r="V16" i="355"/>
  <c r="V14" i="355"/>
  <c r="K7" i="355"/>
  <c r="N2" i="355" s="1"/>
  <c r="O19" i="355" s="1"/>
  <c r="AB42" i="355"/>
  <c r="AC42" i="355" s="1"/>
  <c r="V2" i="355"/>
  <c r="AE61" i="352"/>
  <c r="X8" i="361" l="1"/>
  <c r="W9" i="361"/>
  <c r="X7" i="360"/>
  <c r="W8" i="360"/>
  <c r="X8" i="359"/>
  <c r="W9" i="359"/>
  <c r="X6" i="358"/>
  <c r="W7" i="358"/>
  <c r="AD61" i="357"/>
  <c r="AE61" i="357" s="1"/>
  <c r="AK54" i="357"/>
  <c r="AK55" i="357" s="1"/>
  <c r="AK56" i="357" s="1"/>
  <c r="AL54" i="357"/>
  <c r="AF5" i="357"/>
  <c r="AD81" i="357"/>
  <c r="AK75" i="357"/>
  <c r="Z5" i="357"/>
  <c r="X3" i="357"/>
  <c r="W4" i="357"/>
  <c r="AF78" i="357"/>
  <c r="AF56" i="357"/>
  <c r="AG56" i="357" s="1"/>
  <c r="AH56" i="357" s="1"/>
  <c r="AG5" i="357"/>
  <c r="AB81" i="357"/>
  <c r="AE79" i="357"/>
  <c r="AF79" i="357" s="1"/>
  <c r="AF59" i="357"/>
  <c r="AF61" i="357" s="1"/>
  <c r="Z62" i="356"/>
  <c r="Z3" i="356"/>
  <c r="Z4" i="356"/>
  <c r="AF58" i="356"/>
  <c r="AE78" i="356"/>
  <c r="W3" i="356"/>
  <c r="AD78" i="356"/>
  <c r="AF4" i="356"/>
  <c r="L2" i="356"/>
  <c r="L3" i="356" s="1"/>
  <c r="L4" i="356" s="1"/>
  <c r="L5" i="356" s="1"/>
  <c r="L6" i="356" s="1"/>
  <c r="L7" i="356" s="1"/>
  <c r="L8" i="356" s="1"/>
  <c r="L9" i="356" s="1"/>
  <c r="L10" i="356" s="1"/>
  <c r="L11" i="356" s="1"/>
  <c r="L12" i="356" s="1"/>
  <c r="L13" i="356" s="1"/>
  <c r="L14" i="356" s="1"/>
  <c r="L15" i="356" s="1"/>
  <c r="L16" i="356" s="1"/>
  <c r="L17" i="356" s="1"/>
  <c r="L18" i="356" s="1"/>
  <c r="L19" i="356" s="1"/>
  <c r="L20" i="356" s="1"/>
  <c r="L21" i="356" s="1"/>
  <c r="L22" i="356" s="1"/>
  <c r="L23" i="356" s="1"/>
  <c r="L24" i="356" s="1"/>
  <c r="L25" i="356" s="1"/>
  <c r="L26" i="356" s="1"/>
  <c r="L27" i="356" s="1"/>
  <c r="L28" i="356" s="1"/>
  <c r="L29" i="356" s="1"/>
  <c r="L30" i="356" s="1"/>
  <c r="L31" i="356" s="1"/>
  <c r="L32" i="356" s="1"/>
  <c r="L33" i="356" s="1"/>
  <c r="L34" i="356" s="1"/>
  <c r="L35" i="356" s="1"/>
  <c r="L36" i="356" s="1"/>
  <c r="L37" i="356" s="1"/>
  <c r="L38" i="356" s="1"/>
  <c r="L39" i="356" s="1"/>
  <c r="L40" i="356" s="1"/>
  <c r="L41" i="356" s="1"/>
  <c r="L42" i="356" s="1"/>
  <c r="L43" i="356" s="1"/>
  <c r="L44" i="356" s="1"/>
  <c r="L45" i="356" s="1"/>
  <c r="L46" i="356" s="1"/>
  <c r="L47" i="356" s="1"/>
  <c r="L48" i="356" s="1"/>
  <c r="L49" i="356" s="1"/>
  <c r="L50" i="356" s="1"/>
  <c r="L51" i="356" s="1"/>
  <c r="L52" i="356" s="1"/>
  <c r="L53" i="356" s="1"/>
  <c r="L54" i="356" s="1"/>
  <c r="L55" i="356" s="1"/>
  <c r="L56" i="356" s="1"/>
  <c r="L57" i="356" s="1"/>
  <c r="L58" i="356" s="1"/>
  <c r="L59" i="356" s="1"/>
  <c r="L60" i="356" s="1"/>
  <c r="L61" i="356" s="1"/>
  <c r="L62" i="356" s="1"/>
  <c r="L63" i="356" s="1"/>
  <c r="L64" i="356" s="1"/>
  <c r="L65" i="356" s="1"/>
  <c r="L66" i="356" s="1"/>
  <c r="L67" i="356" s="1"/>
  <c r="L68" i="356" s="1"/>
  <c r="L69" i="356" s="1"/>
  <c r="L70" i="356" s="1"/>
  <c r="L71" i="356" s="1"/>
  <c r="L72" i="356" s="1"/>
  <c r="L73" i="356" s="1"/>
  <c r="L74" i="356" s="1"/>
  <c r="L75" i="356" s="1"/>
  <c r="L76" i="356" s="1"/>
  <c r="L77" i="356" s="1"/>
  <c r="L78" i="356" s="1"/>
  <c r="L79" i="356" s="1"/>
  <c r="L80" i="356" s="1"/>
  <c r="L81" i="356" s="1"/>
  <c r="L82" i="356" s="1"/>
  <c r="L83" i="356" s="1"/>
  <c r="L84" i="356" s="1"/>
  <c r="L85" i="356" s="1"/>
  <c r="L86" i="356" s="1"/>
  <c r="L87" i="356" s="1"/>
  <c r="L88" i="356" s="1"/>
  <c r="L89" i="356" s="1"/>
  <c r="L90" i="356" s="1"/>
  <c r="L91" i="356" s="1"/>
  <c r="L92" i="356" s="1"/>
  <c r="L93" i="356" s="1"/>
  <c r="L94" i="356" s="1"/>
  <c r="L95" i="356" s="1"/>
  <c r="L96" i="356" s="1"/>
  <c r="L97" i="356" s="1"/>
  <c r="L98" i="356" s="1"/>
  <c r="L99" i="356" s="1"/>
  <c r="L100" i="356" s="1"/>
  <c r="L101" i="356" s="1"/>
  <c r="L102" i="356" s="1"/>
  <c r="L103" i="356" s="1"/>
  <c r="L105" i="356" s="1"/>
  <c r="AG4" i="356"/>
  <c r="AH4" i="356" s="1"/>
  <c r="AB17" i="356"/>
  <c r="AB79" i="356"/>
  <c r="AD79" i="356" s="1"/>
  <c r="AK76" i="356" s="1"/>
  <c r="AL76" i="356" s="1"/>
  <c r="AD59" i="356"/>
  <c r="AG3" i="356"/>
  <c r="AG5" i="356" s="1"/>
  <c r="AA5" i="356"/>
  <c r="AF3" i="356"/>
  <c r="AF5" i="356" s="1"/>
  <c r="AB100" i="355"/>
  <c r="O72" i="355"/>
  <c r="O85" i="355"/>
  <c r="AA35" i="355"/>
  <c r="AA37" i="355" s="1"/>
  <c r="AB37" i="355" s="1"/>
  <c r="O46" i="355"/>
  <c r="V9" i="355"/>
  <c r="V105" i="355" s="1"/>
  <c r="AB92" i="355"/>
  <c r="R105" i="355"/>
  <c r="O66" i="355"/>
  <c r="O78" i="355"/>
  <c r="AD5" i="355"/>
  <c r="AA34" i="355" s="1"/>
  <c r="AB34" i="355" s="1"/>
  <c r="O81" i="355"/>
  <c r="O24" i="355"/>
  <c r="O5" i="355"/>
  <c r="O69" i="355"/>
  <c r="O59" i="355"/>
  <c r="AB35" i="355"/>
  <c r="O55" i="355"/>
  <c r="O39" i="355"/>
  <c r="O47" i="355"/>
  <c r="O33" i="355"/>
  <c r="O83" i="355"/>
  <c r="O84" i="355"/>
  <c r="O86" i="355"/>
  <c r="O91" i="355"/>
  <c r="O92" i="355"/>
  <c r="O93" i="355"/>
  <c r="O87" i="355"/>
  <c r="Z13" i="355"/>
  <c r="AA3" i="355"/>
  <c r="Z18" i="355"/>
  <c r="Z24" i="355" s="1"/>
  <c r="W2" i="355" s="1"/>
  <c r="AA4" i="355"/>
  <c r="O90" i="355"/>
  <c r="O89" i="355"/>
  <c r="O4" i="355"/>
  <c r="O6" i="355"/>
  <c r="O9" i="355"/>
  <c r="O11" i="355"/>
  <c r="O13" i="355"/>
  <c r="O22" i="355"/>
  <c r="O28" i="355"/>
  <c r="O3" i="355"/>
  <c r="O8" i="355"/>
  <c r="O10" i="355"/>
  <c r="O12" i="355"/>
  <c r="O2" i="355"/>
  <c r="O25" i="355"/>
  <c r="O17" i="355"/>
  <c r="O26" i="355"/>
  <c r="N105" i="355"/>
  <c r="O14" i="355"/>
  <c r="O15" i="355"/>
  <c r="O27" i="355"/>
  <c r="O30" i="355"/>
  <c r="O35" i="355"/>
  <c r="O36" i="355"/>
  <c r="O37" i="355"/>
  <c r="O38" i="355"/>
  <c r="O45" i="355"/>
  <c r="O54" i="355"/>
  <c r="O34" i="355"/>
  <c r="O49" i="355"/>
  <c r="O53" i="355"/>
  <c r="O50" i="355"/>
  <c r="O31" i="355"/>
  <c r="O41" i="355"/>
  <c r="O42" i="355"/>
  <c r="O57" i="355"/>
  <c r="O70" i="355"/>
  <c r="O61" i="355"/>
  <c r="O62" i="355"/>
  <c r="O68" i="355"/>
  <c r="O73" i="355"/>
  <c r="O74" i="355"/>
  <c r="O75" i="355"/>
  <c r="O76" i="355"/>
  <c r="O60" i="355"/>
  <c r="O64" i="355"/>
  <c r="O65" i="355"/>
  <c r="O20" i="355"/>
  <c r="AC37" i="355"/>
  <c r="O96" i="355"/>
  <c r="O98" i="355"/>
  <c r="O95" i="355"/>
  <c r="O97" i="355"/>
  <c r="O99" i="355"/>
  <c r="O100" i="355"/>
  <c r="O102" i="355"/>
  <c r="O94" i="355"/>
  <c r="O101" i="355"/>
  <c r="O103" i="355"/>
  <c r="O7" i="355"/>
  <c r="K105" i="355"/>
  <c r="K108" i="355" s="1"/>
  <c r="K110" i="355" s="1"/>
  <c r="O29" i="355"/>
  <c r="O43" i="355"/>
  <c r="O77" i="355"/>
  <c r="O32" i="355"/>
  <c r="O58" i="355"/>
  <c r="O16" i="355"/>
  <c r="O79" i="355"/>
  <c r="O67" i="355"/>
  <c r="O44" i="355"/>
  <c r="O80" i="355"/>
  <c r="AB5" i="355"/>
  <c r="AE5" i="355" s="1"/>
  <c r="AE4" i="355"/>
  <c r="Z58" i="355"/>
  <c r="AD35" i="355"/>
  <c r="AE35" i="355" s="1"/>
  <c r="AD36" i="355"/>
  <c r="AE36" i="355" s="1"/>
  <c r="AE34" i="355"/>
  <c r="O63" i="355"/>
  <c r="AB80" i="355"/>
  <c r="AD80" i="355" s="1"/>
  <c r="AK77" i="355" s="1"/>
  <c r="AL77" i="355" s="1"/>
  <c r="Z53" i="355"/>
  <c r="AD60" i="355"/>
  <c r="AD59" i="355"/>
  <c r="AB79" i="355"/>
  <c r="AD79" i="355" s="1"/>
  <c r="AK76" i="355" s="1"/>
  <c r="AL76" i="355" s="1"/>
  <c r="AF61" i="353"/>
  <c r="AF59" i="353"/>
  <c r="AF60" i="353"/>
  <c r="AF58" i="353"/>
  <c r="W10" i="361" l="1"/>
  <c r="X9" i="361"/>
  <c r="W9" i="360"/>
  <c r="X8" i="360"/>
  <c r="W10" i="359"/>
  <c r="X9" i="359"/>
  <c r="X7" i="358"/>
  <c r="W8" i="358"/>
  <c r="AL56" i="357"/>
  <c r="AM56" i="357"/>
  <c r="X4" i="357"/>
  <c r="W5" i="357"/>
  <c r="AE81" i="357"/>
  <c r="AF81" i="357"/>
  <c r="AK78" i="357"/>
  <c r="AL79" i="357" s="1"/>
  <c r="AL75" i="357"/>
  <c r="AL78" i="357" s="1"/>
  <c r="X2" i="356"/>
  <c r="AE79" i="356"/>
  <c r="AF79" i="356" s="1"/>
  <c r="AF59" i="356"/>
  <c r="AF61" i="356" s="1"/>
  <c r="W4" i="356"/>
  <c r="X3" i="356"/>
  <c r="AF78" i="356"/>
  <c r="AF81" i="356" s="1"/>
  <c r="AE81" i="356"/>
  <c r="AD81" i="356"/>
  <c r="AK75" i="356"/>
  <c r="AD62" i="356"/>
  <c r="AB81" i="356"/>
  <c r="AD61" i="356"/>
  <c r="AE61" i="356" s="1"/>
  <c r="Z5" i="356"/>
  <c r="AD58" i="355"/>
  <c r="Z61" i="355"/>
  <c r="AB17" i="355" s="1"/>
  <c r="AB78" i="355"/>
  <c r="Z62" i="355"/>
  <c r="AE37" i="355"/>
  <c r="AF3" i="355"/>
  <c r="AG3" i="355"/>
  <c r="AA5" i="355"/>
  <c r="AD37" i="355"/>
  <c r="Z4" i="355"/>
  <c r="Z3" i="355"/>
  <c r="AF59" i="355"/>
  <c r="AE79" i="355"/>
  <c r="AF79" i="355" s="1"/>
  <c r="AF4" i="355"/>
  <c r="L2" i="355"/>
  <c r="L3" i="355" s="1"/>
  <c r="L4" i="355" s="1"/>
  <c r="L5" i="355" s="1"/>
  <c r="L6" i="355" s="1"/>
  <c r="L7" i="355" s="1"/>
  <c r="L8" i="355" s="1"/>
  <c r="L9" i="355" s="1"/>
  <c r="L10" i="355" s="1"/>
  <c r="L11" i="355" s="1"/>
  <c r="L12" i="355" s="1"/>
  <c r="L13" i="355" s="1"/>
  <c r="L14" i="355" s="1"/>
  <c r="L15" i="355" s="1"/>
  <c r="L16" i="355" s="1"/>
  <c r="L17" i="355" s="1"/>
  <c r="L18" i="355" s="1"/>
  <c r="L19" i="355" s="1"/>
  <c r="L20" i="355" s="1"/>
  <c r="L21" i="355" s="1"/>
  <c r="L22" i="355" s="1"/>
  <c r="L23" i="355" s="1"/>
  <c r="L24" i="355" s="1"/>
  <c r="L25" i="355" s="1"/>
  <c r="L26" i="355" s="1"/>
  <c r="L27" i="355" s="1"/>
  <c r="L28" i="355" s="1"/>
  <c r="L29" i="355" s="1"/>
  <c r="L30" i="355" s="1"/>
  <c r="L31" i="355" s="1"/>
  <c r="L32" i="355" s="1"/>
  <c r="L33" i="355" s="1"/>
  <c r="L34" i="355" s="1"/>
  <c r="L35" i="355" s="1"/>
  <c r="L36" i="355" s="1"/>
  <c r="L37" i="355" s="1"/>
  <c r="L38" i="355" s="1"/>
  <c r="L39" i="355" s="1"/>
  <c r="L40" i="355" s="1"/>
  <c r="L41" i="355" s="1"/>
  <c r="L42" i="355" s="1"/>
  <c r="L43" i="355" s="1"/>
  <c r="L44" i="355" s="1"/>
  <c r="L45" i="355" s="1"/>
  <c r="L46" i="355" s="1"/>
  <c r="L47" i="355" s="1"/>
  <c r="L48" i="355" s="1"/>
  <c r="L49" i="355" s="1"/>
  <c r="L50" i="355" s="1"/>
  <c r="L51" i="355" s="1"/>
  <c r="L52" i="355" s="1"/>
  <c r="L53" i="355" s="1"/>
  <c r="L54" i="355" s="1"/>
  <c r="L55" i="355" s="1"/>
  <c r="L56" i="355" s="1"/>
  <c r="L57" i="355" s="1"/>
  <c r="L58" i="355" s="1"/>
  <c r="L59" i="355" s="1"/>
  <c r="L60" i="355" s="1"/>
  <c r="L61" i="355" s="1"/>
  <c r="L62" i="355" s="1"/>
  <c r="L63" i="355" s="1"/>
  <c r="L64" i="355" s="1"/>
  <c r="L65" i="355" s="1"/>
  <c r="L66" i="355" s="1"/>
  <c r="L67" i="355" s="1"/>
  <c r="L68" i="355" s="1"/>
  <c r="L69" i="355" s="1"/>
  <c r="L70" i="355" s="1"/>
  <c r="L71" i="355" s="1"/>
  <c r="L72" i="355" s="1"/>
  <c r="L73" i="355" s="1"/>
  <c r="L74" i="355" s="1"/>
  <c r="L75" i="355" s="1"/>
  <c r="L76" i="355" s="1"/>
  <c r="L77" i="355" s="1"/>
  <c r="L78" i="355" s="1"/>
  <c r="L79" i="355" s="1"/>
  <c r="L80" i="355" s="1"/>
  <c r="L81" i="355" s="1"/>
  <c r="L82" i="355" s="1"/>
  <c r="L83" i="355" s="1"/>
  <c r="L84" i="355" s="1"/>
  <c r="L85" i="355" s="1"/>
  <c r="L86" i="355" s="1"/>
  <c r="L87" i="355" s="1"/>
  <c r="L88" i="355" s="1"/>
  <c r="L89" i="355" s="1"/>
  <c r="L90" i="355" s="1"/>
  <c r="L91" i="355" s="1"/>
  <c r="L92" i="355" s="1"/>
  <c r="L93" i="355" s="1"/>
  <c r="L94" i="355" s="1"/>
  <c r="L95" i="355" s="1"/>
  <c r="L96" i="355" s="1"/>
  <c r="L97" i="355" s="1"/>
  <c r="L98" i="355" s="1"/>
  <c r="L99" i="355" s="1"/>
  <c r="L100" i="355" s="1"/>
  <c r="L101" i="355" s="1"/>
  <c r="L102" i="355" s="1"/>
  <c r="L103" i="355" s="1"/>
  <c r="L105" i="355" s="1"/>
  <c r="AG4" i="355"/>
  <c r="AF60" i="355"/>
  <c r="AE80" i="355"/>
  <c r="AF80" i="355" s="1"/>
  <c r="X2" i="355"/>
  <c r="W3" i="355"/>
  <c r="Z8" i="353"/>
  <c r="Y55" i="353" s="1"/>
  <c r="U123" i="353"/>
  <c r="I113" i="353"/>
  <c r="P105" i="353"/>
  <c r="M105" i="353"/>
  <c r="J105" i="353"/>
  <c r="U103" i="353"/>
  <c r="T103" i="353"/>
  <c r="S103" i="353"/>
  <c r="Q103" i="353"/>
  <c r="K103" i="353"/>
  <c r="AA102" i="353"/>
  <c r="V102" i="353"/>
  <c r="U102" i="353"/>
  <c r="T102" i="353"/>
  <c r="S102" i="353"/>
  <c r="Q102" i="353"/>
  <c r="K102" i="353"/>
  <c r="U101" i="353"/>
  <c r="T101" i="353"/>
  <c r="S101" i="353"/>
  <c r="Q101" i="353"/>
  <c r="K101" i="353"/>
  <c r="AA100" i="353"/>
  <c r="U100" i="353"/>
  <c r="T100" i="353"/>
  <c r="S100" i="353"/>
  <c r="V100" i="353" s="1"/>
  <c r="Q100" i="353"/>
  <c r="K100" i="353"/>
  <c r="AB99" i="353"/>
  <c r="AA99" i="353"/>
  <c r="U99" i="353"/>
  <c r="V99" i="353" s="1"/>
  <c r="T99" i="353"/>
  <c r="S99" i="353"/>
  <c r="Q99" i="353"/>
  <c r="K99" i="353"/>
  <c r="AA98" i="353"/>
  <c r="U98" i="353"/>
  <c r="T98" i="353"/>
  <c r="V98" i="353" s="1"/>
  <c r="S98" i="353"/>
  <c r="Q98" i="353"/>
  <c r="K98" i="353"/>
  <c r="U97" i="353"/>
  <c r="T97" i="353"/>
  <c r="S97" i="353"/>
  <c r="Q97" i="353"/>
  <c r="K97" i="353"/>
  <c r="U96" i="353"/>
  <c r="T96" i="353"/>
  <c r="V96" i="353" s="1"/>
  <c r="S96" i="353"/>
  <c r="Q96" i="353"/>
  <c r="K96" i="353"/>
  <c r="AA95" i="353"/>
  <c r="U95" i="353"/>
  <c r="T95" i="353"/>
  <c r="S95" i="353"/>
  <c r="V95" i="353" s="1"/>
  <c r="Q95" i="353"/>
  <c r="K95" i="353"/>
  <c r="AA94" i="353"/>
  <c r="V94" i="353"/>
  <c r="U94" i="353"/>
  <c r="T94" i="353"/>
  <c r="S94" i="353"/>
  <c r="Q94" i="353"/>
  <c r="K94" i="353"/>
  <c r="AA93" i="353"/>
  <c r="V93" i="353"/>
  <c r="U93" i="353"/>
  <c r="T93" i="353"/>
  <c r="S93" i="353"/>
  <c r="Q93" i="353"/>
  <c r="K93" i="353"/>
  <c r="V92" i="353"/>
  <c r="U92" i="353"/>
  <c r="T92" i="353"/>
  <c r="S92" i="353"/>
  <c r="Q92" i="353"/>
  <c r="K92" i="353"/>
  <c r="V91" i="353"/>
  <c r="U91" i="353"/>
  <c r="T91" i="353"/>
  <c r="S91" i="353"/>
  <c r="Q91" i="353"/>
  <c r="K91" i="353"/>
  <c r="U90" i="353"/>
  <c r="T90" i="353"/>
  <c r="S90" i="353"/>
  <c r="V90" i="353" s="1"/>
  <c r="Q90" i="353"/>
  <c r="K90" i="353"/>
  <c r="U89" i="353"/>
  <c r="T89" i="353"/>
  <c r="V89" i="353" s="1"/>
  <c r="S89" i="353"/>
  <c r="Q89" i="353"/>
  <c r="K89" i="353"/>
  <c r="U88" i="353"/>
  <c r="T88" i="353"/>
  <c r="S88" i="353"/>
  <c r="V88" i="353" s="1"/>
  <c r="Q88" i="353"/>
  <c r="K88" i="353"/>
  <c r="AE87" i="353"/>
  <c r="AF86" i="353" s="1"/>
  <c r="AG86" i="353" s="1"/>
  <c r="AH86" i="353" s="1"/>
  <c r="AH87" i="353" s="1"/>
  <c r="AH88" i="353" s="1"/>
  <c r="AA87" i="353"/>
  <c r="AB86" i="353" s="1"/>
  <c r="AC86" i="353" s="1"/>
  <c r="AD86" i="353" s="1"/>
  <c r="AD87" i="353" s="1"/>
  <c r="AD88" i="353" s="1"/>
  <c r="Y87" i="353"/>
  <c r="V87" i="353"/>
  <c r="U87" i="353"/>
  <c r="T87" i="353"/>
  <c r="S87" i="353"/>
  <c r="Q87" i="353"/>
  <c r="K87" i="353"/>
  <c r="U86" i="353"/>
  <c r="V86" i="353" s="1"/>
  <c r="T86" i="353"/>
  <c r="S86" i="353"/>
  <c r="Q86" i="353"/>
  <c r="K86" i="353"/>
  <c r="U85" i="353"/>
  <c r="T85" i="353"/>
  <c r="S85" i="353"/>
  <c r="V85" i="353" s="1"/>
  <c r="Q85" i="353"/>
  <c r="K85" i="353"/>
  <c r="V84" i="353"/>
  <c r="X84" i="353" s="1"/>
  <c r="U84" i="353"/>
  <c r="T84" i="353"/>
  <c r="S84" i="353"/>
  <c r="Q84" i="353"/>
  <c r="K84" i="353"/>
  <c r="V83" i="353"/>
  <c r="U83" i="353"/>
  <c r="T83" i="353"/>
  <c r="S83" i="353"/>
  <c r="Q83" i="353"/>
  <c r="K83" i="353"/>
  <c r="U82" i="353"/>
  <c r="T82" i="353"/>
  <c r="S82" i="353"/>
  <c r="Q82" i="353"/>
  <c r="K82" i="353"/>
  <c r="AA81" i="353"/>
  <c r="AA86" i="353" s="1"/>
  <c r="Z81" i="353"/>
  <c r="U81" i="353"/>
  <c r="T81" i="353"/>
  <c r="S81" i="353"/>
  <c r="V81" i="353" s="1"/>
  <c r="Q81" i="353"/>
  <c r="N81" i="353"/>
  <c r="K81" i="353"/>
  <c r="AI80" i="353"/>
  <c r="U80" i="353"/>
  <c r="T80" i="353"/>
  <c r="S80" i="353"/>
  <c r="Q80" i="353"/>
  <c r="K80" i="353"/>
  <c r="AI79" i="353"/>
  <c r="AC79" i="353"/>
  <c r="U79" i="353"/>
  <c r="T79" i="353"/>
  <c r="S79" i="353"/>
  <c r="Q79" i="353"/>
  <c r="K79" i="353"/>
  <c r="AI78" i="353"/>
  <c r="U78" i="353"/>
  <c r="V78" i="353" s="1"/>
  <c r="T78" i="353"/>
  <c r="S78" i="353"/>
  <c r="Q78" i="353"/>
  <c r="K78" i="353"/>
  <c r="U77" i="353"/>
  <c r="T77" i="353"/>
  <c r="S77" i="353"/>
  <c r="Q77" i="353"/>
  <c r="K77" i="353"/>
  <c r="U76" i="353"/>
  <c r="T76" i="353"/>
  <c r="S76" i="353"/>
  <c r="V76" i="353" s="1"/>
  <c r="Q76" i="353"/>
  <c r="K76" i="353"/>
  <c r="V75" i="353"/>
  <c r="U75" i="353"/>
  <c r="T75" i="353"/>
  <c r="S75" i="353"/>
  <c r="Q75" i="353"/>
  <c r="K75" i="353"/>
  <c r="U74" i="353"/>
  <c r="T74" i="353"/>
  <c r="S74" i="353"/>
  <c r="Q74" i="353"/>
  <c r="K74" i="353"/>
  <c r="AD73" i="353"/>
  <c r="Z73" i="353"/>
  <c r="V73" i="353"/>
  <c r="U73" i="353"/>
  <c r="T73" i="353"/>
  <c r="S73" i="353"/>
  <c r="Q73" i="353"/>
  <c r="K73" i="353"/>
  <c r="U72" i="353"/>
  <c r="T72" i="353"/>
  <c r="V72" i="353" s="1"/>
  <c r="S72" i="353"/>
  <c r="Q72" i="353"/>
  <c r="K72" i="353"/>
  <c r="V71" i="353"/>
  <c r="U71" i="353"/>
  <c r="T71" i="353"/>
  <c r="S71" i="353"/>
  <c r="Q71" i="353"/>
  <c r="K71" i="353"/>
  <c r="V70" i="353"/>
  <c r="U70" i="353"/>
  <c r="T70" i="353"/>
  <c r="S70" i="353"/>
  <c r="Q70" i="353"/>
  <c r="K70" i="353"/>
  <c r="U69" i="353"/>
  <c r="T69" i="353"/>
  <c r="V69" i="353" s="1"/>
  <c r="S69" i="353"/>
  <c r="Q69" i="353"/>
  <c r="K69" i="353"/>
  <c r="U68" i="353"/>
  <c r="T68" i="353"/>
  <c r="S68" i="353"/>
  <c r="V68" i="353" s="1"/>
  <c r="Q68" i="353"/>
  <c r="K68" i="353"/>
  <c r="AA67" i="353"/>
  <c r="U67" i="353"/>
  <c r="T67" i="353"/>
  <c r="S67" i="353"/>
  <c r="Q67" i="353"/>
  <c r="K67" i="353"/>
  <c r="V66" i="353"/>
  <c r="U66" i="353"/>
  <c r="T66" i="353"/>
  <c r="S66" i="353"/>
  <c r="Q66" i="353"/>
  <c r="K66" i="353"/>
  <c r="U65" i="353"/>
  <c r="T65" i="353"/>
  <c r="S65" i="353"/>
  <c r="V65" i="353" s="1"/>
  <c r="Q65" i="353"/>
  <c r="K65" i="353"/>
  <c r="U64" i="353"/>
  <c r="T64" i="353"/>
  <c r="S64" i="353"/>
  <c r="V64" i="353" s="1"/>
  <c r="Q64" i="353"/>
  <c r="K64" i="353"/>
  <c r="V63" i="353"/>
  <c r="U63" i="353"/>
  <c r="T63" i="353"/>
  <c r="S63" i="353"/>
  <c r="Q63" i="353"/>
  <c r="K63" i="353"/>
  <c r="AC62" i="353"/>
  <c r="U62" i="353"/>
  <c r="T62" i="353"/>
  <c r="S62" i="353"/>
  <c r="V62" i="353" s="1"/>
  <c r="Q62" i="353"/>
  <c r="K62" i="353"/>
  <c r="AB61" i="353"/>
  <c r="V61" i="353"/>
  <c r="U61" i="353"/>
  <c r="T61" i="353"/>
  <c r="S61" i="353"/>
  <c r="Q61" i="353"/>
  <c r="K61" i="353"/>
  <c r="AA60" i="353"/>
  <c r="AC80" i="353" s="1"/>
  <c r="U60" i="353"/>
  <c r="T60" i="353"/>
  <c r="S60" i="353"/>
  <c r="Q60" i="353"/>
  <c r="K60" i="353"/>
  <c r="AB59" i="353"/>
  <c r="AA59" i="353"/>
  <c r="U59" i="353"/>
  <c r="T59" i="353"/>
  <c r="S59" i="353"/>
  <c r="V59" i="353" s="1"/>
  <c r="Q59" i="353"/>
  <c r="K59" i="353"/>
  <c r="AM58" i="353"/>
  <c r="AC58" i="353"/>
  <c r="AB58" i="353"/>
  <c r="AB62" i="353" s="1"/>
  <c r="AA58" i="353"/>
  <c r="AC78" i="353" s="1"/>
  <c r="AC81" i="353" s="1"/>
  <c r="V58" i="353"/>
  <c r="U58" i="353"/>
  <c r="T58" i="353"/>
  <c r="S58" i="353"/>
  <c r="Q58" i="353"/>
  <c r="K58" i="353"/>
  <c r="U57" i="353"/>
  <c r="T57" i="353"/>
  <c r="S57" i="353"/>
  <c r="V57" i="353" s="1"/>
  <c r="Q57" i="353"/>
  <c r="K57" i="353"/>
  <c r="V56" i="353"/>
  <c r="U56" i="353"/>
  <c r="T56" i="353"/>
  <c r="S56" i="353"/>
  <c r="Q56" i="353"/>
  <c r="K56" i="353"/>
  <c r="U55" i="353"/>
  <c r="T55" i="353"/>
  <c r="V55" i="353" s="1"/>
  <c r="S55" i="353"/>
  <c r="Q55" i="353"/>
  <c r="K55" i="353"/>
  <c r="U54" i="353"/>
  <c r="T54" i="353"/>
  <c r="V54" i="353" s="1"/>
  <c r="S54" i="353"/>
  <c r="Q54" i="353"/>
  <c r="K54" i="353"/>
  <c r="R54" i="353" s="1"/>
  <c r="Y53" i="353"/>
  <c r="U53" i="353"/>
  <c r="T53" i="353"/>
  <c r="S53" i="353"/>
  <c r="Q53" i="353"/>
  <c r="K53" i="353"/>
  <c r="V52" i="353"/>
  <c r="U52" i="353"/>
  <c r="T52" i="353"/>
  <c r="S52" i="353"/>
  <c r="Q52" i="353"/>
  <c r="K52" i="353"/>
  <c r="Y51" i="353"/>
  <c r="U51" i="353"/>
  <c r="T51" i="353"/>
  <c r="S51" i="353"/>
  <c r="Q51" i="353"/>
  <c r="K51" i="353"/>
  <c r="AB50" i="353"/>
  <c r="U50" i="353"/>
  <c r="T50" i="353"/>
  <c r="S50" i="353"/>
  <c r="Q50" i="353"/>
  <c r="K50" i="353"/>
  <c r="Z49" i="353"/>
  <c r="Y49" i="353"/>
  <c r="V49" i="353"/>
  <c r="U49" i="353"/>
  <c r="T49" i="353"/>
  <c r="S49" i="353"/>
  <c r="Q49" i="353"/>
  <c r="K49" i="353"/>
  <c r="Z48" i="353"/>
  <c r="Y48" i="353"/>
  <c r="V48" i="353"/>
  <c r="U48" i="353"/>
  <c r="T48" i="353"/>
  <c r="S48" i="353"/>
  <c r="Q48" i="353"/>
  <c r="K48" i="353"/>
  <c r="U47" i="353"/>
  <c r="T47" i="353"/>
  <c r="S47" i="353"/>
  <c r="Q47" i="353"/>
  <c r="K47" i="353"/>
  <c r="O47" i="353" s="1"/>
  <c r="U46" i="353"/>
  <c r="T46" i="353"/>
  <c r="Q46" i="353"/>
  <c r="S46" i="353" s="1"/>
  <c r="V46" i="353" s="1"/>
  <c r="K46" i="353"/>
  <c r="AB45" i="353"/>
  <c r="AC45" i="353" s="1"/>
  <c r="AA45" i="353"/>
  <c r="V45" i="353"/>
  <c r="U45" i="353"/>
  <c r="T45" i="353"/>
  <c r="S45" i="353"/>
  <c r="Q45" i="353"/>
  <c r="K45" i="353"/>
  <c r="AB44" i="353"/>
  <c r="AA44" i="353"/>
  <c r="AC44" i="353" s="1"/>
  <c r="V44" i="353"/>
  <c r="U44" i="353"/>
  <c r="T44" i="353"/>
  <c r="S44" i="353"/>
  <c r="Q44" i="353"/>
  <c r="K44" i="353"/>
  <c r="AB43" i="353"/>
  <c r="AA43" i="353"/>
  <c r="AC43" i="353" s="1"/>
  <c r="V43" i="353"/>
  <c r="U43" i="353"/>
  <c r="T43" i="353"/>
  <c r="S43" i="353"/>
  <c r="Q43" i="353"/>
  <c r="K43" i="353"/>
  <c r="U42" i="353"/>
  <c r="T42" i="353"/>
  <c r="S42" i="353"/>
  <c r="V42" i="353" s="1"/>
  <c r="Q42" i="353"/>
  <c r="K42" i="353"/>
  <c r="U41" i="353"/>
  <c r="T41" i="353"/>
  <c r="S41" i="353"/>
  <c r="Q41" i="353"/>
  <c r="K41" i="353"/>
  <c r="V40" i="353"/>
  <c r="U40" i="353"/>
  <c r="T40" i="353"/>
  <c r="S40" i="353"/>
  <c r="K40" i="353"/>
  <c r="U39" i="353"/>
  <c r="T39" i="353"/>
  <c r="S39" i="353"/>
  <c r="V39" i="353" s="1"/>
  <c r="Q39" i="353"/>
  <c r="K39" i="353"/>
  <c r="U38" i="353"/>
  <c r="T38" i="353"/>
  <c r="S38" i="353"/>
  <c r="Q38" i="353"/>
  <c r="K38" i="353"/>
  <c r="Z37" i="353"/>
  <c r="U37" i="353"/>
  <c r="T37" i="353"/>
  <c r="S37" i="353"/>
  <c r="Q37" i="353"/>
  <c r="K37" i="353"/>
  <c r="AD36" i="353"/>
  <c r="AB36" i="353"/>
  <c r="Z36" i="353"/>
  <c r="AA36" i="353" s="1"/>
  <c r="U36" i="353"/>
  <c r="T36" i="353"/>
  <c r="S36" i="353"/>
  <c r="Q36" i="353"/>
  <c r="K36" i="353"/>
  <c r="O36" i="353" s="1"/>
  <c r="AC35" i="353"/>
  <c r="AE35" i="353" s="1"/>
  <c r="Z35" i="353"/>
  <c r="U35" i="353"/>
  <c r="T35" i="353"/>
  <c r="S35" i="353"/>
  <c r="Q35" i="353"/>
  <c r="K35" i="353"/>
  <c r="AD34" i="353"/>
  <c r="AD35" i="353" s="1"/>
  <c r="AC34" i="353"/>
  <c r="AC36" i="353" s="1"/>
  <c r="AE36" i="353" s="1"/>
  <c r="U34" i="353"/>
  <c r="T34" i="353"/>
  <c r="V34" i="353" s="1"/>
  <c r="S34" i="353"/>
  <c r="Q34" i="353"/>
  <c r="K34" i="353"/>
  <c r="U33" i="353"/>
  <c r="T33" i="353"/>
  <c r="V33" i="353" s="1"/>
  <c r="S33" i="353"/>
  <c r="Q33" i="353"/>
  <c r="K33" i="353"/>
  <c r="U32" i="353"/>
  <c r="T32" i="353"/>
  <c r="V32" i="353" s="1"/>
  <c r="S32" i="353"/>
  <c r="Q32" i="353"/>
  <c r="K32" i="353"/>
  <c r="U31" i="353"/>
  <c r="T31" i="353"/>
  <c r="V31" i="353" s="1"/>
  <c r="S31" i="353"/>
  <c r="Q31" i="353"/>
  <c r="K31" i="353"/>
  <c r="Z30" i="353"/>
  <c r="U30" i="353"/>
  <c r="T30" i="353"/>
  <c r="S30" i="353"/>
  <c r="Q30" i="353"/>
  <c r="K30" i="353"/>
  <c r="O30" i="353" s="1"/>
  <c r="U29" i="353"/>
  <c r="T29" i="353"/>
  <c r="S29" i="353"/>
  <c r="V29" i="353" s="1"/>
  <c r="Q29" i="353"/>
  <c r="K29" i="353"/>
  <c r="U28" i="353"/>
  <c r="T28" i="353"/>
  <c r="S28" i="353"/>
  <c r="V28" i="353" s="1"/>
  <c r="Q28" i="353"/>
  <c r="K28" i="353"/>
  <c r="U27" i="353"/>
  <c r="T27" i="353"/>
  <c r="S27" i="353"/>
  <c r="V27" i="353" s="1"/>
  <c r="Q27" i="353"/>
  <c r="K27" i="353"/>
  <c r="N27" i="353" s="1"/>
  <c r="T26" i="353"/>
  <c r="V26" i="353" s="1"/>
  <c r="S26" i="353"/>
  <c r="R26" i="353"/>
  <c r="Q26" i="353"/>
  <c r="U26" i="353" s="1"/>
  <c r="AB102" i="353" s="1"/>
  <c r="K26" i="353"/>
  <c r="U25" i="353"/>
  <c r="T25" i="353"/>
  <c r="S25" i="353"/>
  <c r="Q25" i="353"/>
  <c r="K25" i="353"/>
  <c r="U24" i="353"/>
  <c r="T24" i="353"/>
  <c r="S24" i="353"/>
  <c r="V24" i="353" s="1"/>
  <c r="Q24" i="353"/>
  <c r="K24" i="353"/>
  <c r="U23" i="353"/>
  <c r="T23" i="353"/>
  <c r="S23" i="353"/>
  <c r="V23" i="353" s="1"/>
  <c r="Q23" i="353"/>
  <c r="K23" i="353"/>
  <c r="V22" i="353"/>
  <c r="U22" i="353"/>
  <c r="T22" i="353"/>
  <c r="Q22" i="353"/>
  <c r="S22" i="353" s="1"/>
  <c r="K22" i="353"/>
  <c r="V21" i="353"/>
  <c r="U21" i="353"/>
  <c r="T21" i="353"/>
  <c r="S21" i="353"/>
  <c r="Q21" i="353"/>
  <c r="K21" i="353"/>
  <c r="U20" i="353"/>
  <c r="T20" i="353"/>
  <c r="Q20" i="353"/>
  <c r="S20" i="353" s="1"/>
  <c r="V20" i="353" s="1"/>
  <c r="K20" i="353"/>
  <c r="U19" i="353"/>
  <c r="T19" i="353"/>
  <c r="S19" i="353"/>
  <c r="V19" i="353" s="1"/>
  <c r="Q19" i="353"/>
  <c r="K19" i="353"/>
  <c r="U18" i="353"/>
  <c r="S18" i="353"/>
  <c r="V18" i="353" s="1"/>
  <c r="Q18" i="353"/>
  <c r="T18" i="353" s="1"/>
  <c r="AB94" i="353" s="1"/>
  <c r="K18" i="353"/>
  <c r="U17" i="353"/>
  <c r="T17" i="353"/>
  <c r="S17" i="353"/>
  <c r="V17" i="353" s="1"/>
  <c r="Q17" i="353"/>
  <c r="K17" i="353"/>
  <c r="Z16" i="353"/>
  <c r="AA16" i="353" s="1"/>
  <c r="U16" i="353"/>
  <c r="T16" i="353"/>
  <c r="S16" i="353"/>
  <c r="K16" i="353"/>
  <c r="AA15" i="353"/>
  <c r="Z15" i="353"/>
  <c r="U15" i="353"/>
  <c r="T15" i="353"/>
  <c r="S15" i="353"/>
  <c r="V15" i="353" s="1"/>
  <c r="Q15" i="353"/>
  <c r="K15" i="353"/>
  <c r="Z14" i="353"/>
  <c r="Z18" i="353" s="1"/>
  <c r="Z24" i="353" s="1"/>
  <c r="W2" i="353" s="1"/>
  <c r="U14" i="353"/>
  <c r="T14" i="353"/>
  <c r="S14" i="353"/>
  <c r="V14" i="353" s="1"/>
  <c r="Q14" i="353"/>
  <c r="K14" i="353"/>
  <c r="U13" i="353"/>
  <c r="V13" i="353" s="1"/>
  <c r="T13" i="353"/>
  <c r="Q13" i="353"/>
  <c r="S13" i="353" s="1"/>
  <c r="K13" i="353"/>
  <c r="AC12" i="353"/>
  <c r="AB12" i="353"/>
  <c r="AA12" i="353"/>
  <c r="U12" i="353"/>
  <c r="T12" i="353"/>
  <c r="S12" i="353"/>
  <c r="V12" i="353" s="1"/>
  <c r="Q12" i="353"/>
  <c r="K12" i="353"/>
  <c r="AA11" i="353"/>
  <c r="U11" i="353"/>
  <c r="T11" i="353"/>
  <c r="S11" i="353"/>
  <c r="V11" i="353" s="1"/>
  <c r="Q11" i="353"/>
  <c r="K11" i="353"/>
  <c r="AB10" i="353"/>
  <c r="AC61" i="353" s="1"/>
  <c r="Z10" i="353"/>
  <c r="AK79" i="353" s="1"/>
  <c r="U10" i="353"/>
  <c r="T10" i="353"/>
  <c r="S10" i="353"/>
  <c r="V10" i="353" s="1"/>
  <c r="Q10" i="353"/>
  <c r="K10" i="353"/>
  <c r="AA9" i="353"/>
  <c r="U9" i="353"/>
  <c r="T9" i="353"/>
  <c r="S9" i="353"/>
  <c r="V9" i="353" s="1"/>
  <c r="Q9" i="353"/>
  <c r="K9" i="353"/>
  <c r="U8" i="353"/>
  <c r="T8" i="353"/>
  <c r="Q8" i="353"/>
  <c r="S8" i="353" s="1"/>
  <c r="V8" i="353" s="1"/>
  <c r="K8" i="353"/>
  <c r="Z7" i="353"/>
  <c r="U7" i="353"/>
  <c r="Q7" i="353"/>
  <c r="I7" i="353"/>
  <c r="H7" i="353"/>
  <c r="S7" i="353" s="1"/>
  <c r="Z6" i="353"/>
  <c r="U6" i="353"/>
  <c r="T6" i="353"/>
  <c r="S6" i="353"/>
  <c r="V6" i="353" s="1"/>
  <c r="Q6" i="353"/>
  <c r="K6" i="353"/>
  <c r="U5" i="353"/>
  <c r="S5" i="353"/>
  <c r="Q5" i="353"/>
  <c r="T5" i="353" s="1"/>
  <c r="V5" i="353" s="1"/>
  <c r="K5" i="353"/>
  <c r="U4" i="353"/>
  <c r="T4" i="353"/>
  <c r="S4" i="353"/>
  <c r="V4" i="353" s="1"/>
  <c r="Q4" i="353"/>
  <c r="K4" i="353"/>
  <c r="AE3" i="353"/>
  <c r="AA3" i="353"/>
  <c r="AG3" i="353" s="1"/>
  <c r="U3" i="353"/>
  <c r="S3" i="353"/>
  <c r="Q3" i="353"/>
  <c r="T3" i="353" s="1"/>
  <c r="V3" i="353" s="1"/>
  <c r="K3" i="353"/>
  <c r="U2" i="353"/>
  <c r="T2" i="353"/>
  <c r="S2" i="353"/>
  <c r="V2" i="353" s="1"/>
  <c r="Q2" i="353"/>
  <c r="K2" i="353"/>
  <c r="I7" i="352"/>
  <c r="H7" i="352"/>
  <c r="W11" i="361" l="1"/>
  <c r="X10" i="361"/>
  <c r="X9" i="360"/>
  <c r="W10" i="360"/>
  <c r="W11" i="359"/>
  <c r="X10" i="359"/>
  <c r="X8" i="358"/>
  <c r="W9" i="358"/>
  <c r="X5" i="357"/>
  <c r="W6" i="357"/>
  <c r="W5" i="356"/>
  <c r="X4" i="356"/>
  <c r="AL75" i="356"/>
  <c r="AL78" i="356" s="1"/>
  <c r="AK78" i="356"/>
  <c r="AL79" i="356" s="1"/>
  <c r="X3" i="355"/>
  <c r="W4" i="355"/>
  <c r="Z5" i="355"/>
  <c r="AG5" i="355"/>
  <c r="AD78" i="355"/>
  <c r="AB81" i="355"/>
  <c r="AF5" i="355"/>
  <c r="AF58" i="355"/>
  <c r="AF61" i="355" s="1"/>
  <c r="AD61" i="355"/>
  <c r="AE61" i="355" s="1"/>
  <c r="AE78" i="355"/>
  <c r="AD62" i="355"/>
  <c r="Z72" i="353"/>
  <c r="W3" i="353"/>
  <c r="V7" i="353"/>
  <c r="V105" i="353" s="1"/>
  <c r="O44" i="353"/>
  <c r="O37" i="353"/>
  <c r="O33" i="353"/>
  <c r="O31" i="353"/>
  <c r="O55" i="353"/>
  <c r="O32" i="353"/>
  <c r="O34" i="353"/>
  <c r="O41" i="353"/>
  <c r="O45" i="353"/>
  <c r="O81" i="353"/>
  <c r="O84" i="353"/>
  <c r="O90" i="353"/>
  <c r="AA92" i="353"/>
  <c r="I105" i="353"/>
  <c r="AB42" i="353"/>
  <c r="O54" i="353"/>
  <c r="Q105" i="353"/>
  <c r="AF3" i="353"/>
  <c r="K7" i="353"/>
  <c r="AA10" i="353"/>
  <c r="AA69" i="353"/>
  <c r="AB98" i="353"/>
  <c r="V16" i="353"/>
  <c r="V25" i="353"/>
  <c r="R105" i="353"/>
  <c r="AD37" i="353"/>
  <c r="V35" i="353"/>
  <c r="AC37" i="353"/>
  <c r="V38" i="353"/>
  <c r="O43" i="353"/>
  <c r="AB47" i="353"/>
  <c r="AA62" i="353"/>
  <c r="AA61" i="353"/>
  <c r="H105" i="353"/>
  <c r="AA97" i="353"/>
  <c r="AA42" i="353"/>
  <c r="AC42" i="353" s="1"/>
  <c r="AB95" i="353"/>
  <c r="O35" i="353"/>
  <c r="O38" i="353"/>
  <c r="O46" i="353"/>
  <c r="O50" i="353"/>
  <c r="O56" i="353"/>
  <c r="N56" i="353"/>
  <c r="U105" i="353"/>
  <c r="AD4" i="353" s="1"/>
  <c r="O53" i="353"/>
  <c r="O74" i="353"/>
  <c r="N85" i="353"/>
  <c r="O91" i="353"/>
  <c r="S105" i="353"/>
  <c r="AC4" i="353" s="1"/>
  <c r="AB97" i="353"/>
  <c r="AA4" i="353"/>
  <c r="T7" i="353"/>
  <c r="T105" i="353" s="1"/>
  <c r="AB4" i="353" s="1"/>
  <c r="Z13" i="353"/>
  <c r="AB93" i="353"/>
  <c r="V30" i="353"/>
  <c r="AA68" i="353"/>
  <c r="AE37" i="353"/>
  <c r="V36" i="353"/>
  <c r="O39" i="353"/>
  <c r="V41" i="353"/>
  <c r="V47" i="353"/>
  <c r="O49" i="353"/>
  <c r="R52" i="353"/>
  <c r="V53" i="353"/>
  <c r="V60" i="353"/>
  <c r="O82" i="353"/>
  <c r="AB100" i="353"/>
  <c r="AE34" i="353"/>
  <c r="V37" i="353"/>
  <c r="V50" i="353"/>
  <c r="V80" i="353"/>
  <c r="O42" i="353"/>
  <c r="V51" i="353"/>
  <c r="O68" i="353"/>
  <c r="O93" i="353"/>
  <c r="N94" i="353"/>
  <c r="V101" i="353"/>
  <c r="N50" i="353"/>
  <c r="R50" i="353"/>
  <c r="V67" i="353"/>
  <c r="V74" i="353"/>
  <c r="V77" i="353"/>
  <c r="V79" i="353"/>
  <c r="V82" i="353"/>
  <c r="O83" i="353"/>
  <c r="O88" i="353"/>
  <c r="V97" i="353"/>
  <c r="V103" i="353"/>
  <c r="U123" i="352"/>
  <c r="I113" i="352"/>
  <c r="P105" i="352"/>
  <c r="M105" i="352"/>
  <c r="J105" i="352"/>
  <c r="U103" i="352"/>
  <c r="T103" i="352"/>
  <c r="S103" i="352"/>
  <c r="Q103" i="352"/>
  <c r="K103" i="352"/>
  <c r="AA102" i="352"/>
  <c r="U102" i="352"/>
  <c r="T102" i="352"/>
  <c r="S102" i="352"/>
  <c r="Q102" i="352"/>
  <c r="K102" i="352"/>
  <c r="U101" i="352"/>
  <c r="T101" i="352"/>
  <c r="S101" i="352"/>
  <c r="Q101" i="352"/>
  <c r="K101" i="352"/>
  <c r="AA100" i="352"/>
  <c r="U100" i="352"/>
  <c r="T100" i="352"/>
  <c r="S100" i="352"/>
  <c r="Q100" i="352"/>
  <c r="K100" i="352"/>
  <c r="AA99" i="352"/>
  <c r="U99" i="352"/>
  <c r="T99" i="352"/>
  <c r="S99" i="352"/>
  <c r="Q99" i="352"/>
  <c r="K99" i="352"/>
  <c r="AA98" i="352"/>
  <c r="U98" i="352"/>
  <c r="T98" i="352"/>
  <c r="S98" i="352"/>
  <c r="Q98" i="352"/>
  <c r="K98" i="352"/>
  <c r="U97" i="352"/>
  <c r="T97" i="352"/>
  <c r="S97" i="352"/>
  <c r="Q97" i="352"/>
  <c r="K97" i="352"/>
  <c r="U96" i="352"/>
  <c r="T96" i="352"/>
  <c r="S96" i="352"/>
  <c r="Q96" i="352"/>
  <c r="K96" i="352"/>
  <c r="AA95" i="352"/>
  <c r="U95" i="352"/>
  <c r="T95" i="352"/>
  <c r="S95" i="352"/>
  <c r="Q95" i="352"/>
  <c r="K95" i="352"/>
  <c r="AA94" i="352"/>
  <c r="U94" i="352"/>
  <c r="T94" i="352"/>
  <c r="S94" i="352"/>
  <c r="Q94" i="352"/>
  <c r="K94" i="352"/>
  <c r="AA93" i="352"/>
  <c r="U93" i="352"/>
  <c r="T93" i="352"/>
  <c r="S93" i="352"/>
  <c r="Q93" i="352"/>
  <c r="K93" i="352"/>
  <c r="U92" i="352"/>
  <c r="T92" i="352"/>
  <c r="S92" i="352"/>
  <c r="Q92" i="352"/>
  <c r="K92" i="352"/>
  <c r="U91" i="352"/>
  <c r="T91" i="352"/>
  <c r="S91" i="352"/>
  <c r="Q91" i="352"/>
  <c r="K91" i="352"/>
  <c r="U90" i="352"/>
  <c r="T90" i="352"/>
  <c r="S90" i="352"/>
  <c r="Q90" i="352"/>
  <c r="K90" i="352"/>
  <c r="U89" i="352"/>
  <c r="T89" i="352"/>
  <c r="S89" i="352"/>
  <c r="Q89" i="352"/>
  <c r="K89" i="352"/>
  <c r="U88" i="352"/>
  <c r="T88" i="352"/>
  <c r="S88" i="352"/>
  <c r="Q88" i="352"/>
  <c r="K88" i="352"/>
  <c r="AE87" i="352"/>
  <c r="AF86" i="352" s="1"/>
  <c r="AA87" i="352"/>
  <c r="Y87" i="352"/>
  <c r="U87" i="352"/>
  <c r="T87" i="352"/>
  <c r="S87" i="352"/>
  <c r="Q87" i="352"/>
  <c r="K87" i="352"/>
  <c r="AG86" i="352"/>
  <c r="AH86" i="352" s="1"/>
  <c r="AH87" i="352" s="1"/>
  <c r="AH88" i="352" s="1"/>
  <c r="U86" i="352"/>
  <c r="T86" i="352"/>
  <c r="S86" i="352"/>
  <c r="Q86" i="352"/>
  <c r="K86" i="352"/>
  <c r="U85" i="352"/>
  <c r="T85" i="352"/>
  <c r="S85" i="352"/>
  <c r="Q85" i="352"/>
  <c r="K85" i="352"/>
  <c r="U84" i="352"/>
  <c r="T84" i="352"/>
  <c r="S84" i="352"/>
  <c r="Q84" i="352"/>
  <c r="K84" i="352"/>
  <c r="U83" i="352"/>
  <c r="T83" i="352"/>
  <c r="S83" i="352"/>
  <c r="Q83" i="352"/>
  <c r="K83" i="352"/>
  <c r="U82" i="352"/>
  <c r="T82" i="352"/>
  <c r="S82" i="352"/>
  <c r="Q82" i="352"/>
  <c r="K82" i="352"/>
  <c r="AA81" i="352"/>
  <c r="AA86" i="352" s="1"/>
  <c r="AB86" i="352" s="1"/>
  <c r="AC86" i="352" s="1"/>
  <c r="AD86" i="352" s="1"/>
  <c r="AD87" i="352" s="1"/>
  <c r="AD88" i="352" s="1"/>
  <c r="Z81" i="352"/>
  <c r="U81" i="352"/>
  <c r="T81" i="352"/>
  <c r="S81" i="352"/>
  <c r="Q81" i="352"/>
  <c r="K81" i="352"/>
  <c r="AI80" i="352"/>
  <c r="U80" i="352"/>
  <c r="T80" i="352"/>
  <c r="S80" i="352"/>
  <c r="Q80" i="352"/>
  <c r="K80" i="352"/>
  <c r="AI79" i="352"/>
  <c r="U79" i="352"/>
  <c r="T79" i="352"/>
  <c r="S79" i="352"/>
  <c r="Q79" i="352"/>
  <c r="K79" i="352"/>
  <c r="AI78" i="352"/>
  <c r="U78" i="352"/>
  <c r="T78" i="352"/>
  <c r="S78" i="352"/>
  <c r="Q78" i="352"/>
  <c r="K78" i="352"/>
  <c r="U77" i="352"/>
  <c r="T77" i="352"/>
  <c r="S77" i="352"/>
  <c r="Q77" i="352"/>
  <c r="K77" i="352"/>
  <c r="U76" i="352"/>
  <c r="T76" i="352"/>
  <c r="S76" i="352"/>
  <c r="Q76" i="352"/>
  <c r="K76" i="352"/>
  <c r="U75" i="352"/>
  <c r="T75" i="352"/>
  <c r="S75" i="352"/>
  <c r="Q75" i="352"/>
  <c r="K75" i="352"/>
  <c r="U74" i="352"/>
  <c r="T74" i="352"/>
  <c r="S74" i="352"/>
  <c r="Q74" i="352"/>
  <c r="K74" i="352"/>
  <c r="AD73" i="352"/>
  <c r="Z73" i="352"/>
  <c r="U73" i="352"/>
  <c r="T73" i="352"/>
  <c r="S73" i="352"/>
  <c r="Q73" i="352"/>
  <c r="K73" i="352"/>
  <c r="U72" i="352"/>
  <c r="T72" i="352"/>
  <c r="S72" i="352"/>
  <c r="Q72" i="352"/>
  <c r="K72" i="352"/>
  <c r="U71" i="352"/>
  <c r="T71" i="352"/>
  <c r="S71" i="352"/>
  <c r="Q71" i="352"/>
  <c r="K71" i="352"/>
  <c r="U70" i="352"/>
  <c r="T70" i="352"/>
  <c r="S70" i="352"/>
  <c r="Q70" i="352"/>
  <c r="K70" i="352"/>
  <c r="U69" i="352"/>
  <c r="T69" i="352"/>
  <c r="S69" i="352"/>
  <c r="Q69" i="352"/>
  <c r="K69" i="352"/>
  <c r="U68" i="352"/>
  <c r="T68" i="352"/>
  <c r="S68" i="352"/>
  <c r="Q68" i="352"/>
  <c r="K68" i="352"/>
  <c r="AA67" i="352"/>
  <c r="U67" i="352"/>
  <c r="T67" i="352"/>
  <c r="S67" i="352"/>
  <c r="Q67" i="352"/>
  <c r="K67" i="352"/>
  <c r="U66" i="352"/>
  <c r="T66" i="352"/>
  <c r="S66" i="352"/>
  <c r="Q66" i="352"/>
  <c r="K66" i="352"/>
  <c r="U65" i="352"/>
  <c r="T65" i="352"/>
  <c r="S65" i="352"/>
  <c r="Q65" i="352"/>
  <c r="K65" i="352"/>
  <c r="U64" i="352"/>
  <c r="T64" i="352"/>
  <c r="S64" i="352"/>
  <c r="Q64" i="352"/>
  <c r="K64" i="352"/>
  <c r="U63" i="352"/>
  <c r="T63" i="352"/>
  <c r="S63" i="352"/>
  <c r="Q63" i="352"/>
  <c r="K63" i="352"/>
  <c r="AC62" i="352"/>
  <c r="U62" i="352"/>
  <c r="T62" i="352"/>
  <c r="S62" i="352"/>
  <c r="Q62" i="352"/>
  <c r="K62" i="352"/>
  <c r="U61" i="352"/>
  <c r="T61" i="352"/>
  <c r="S61" i="352"/>
  <c r="Q61" i="352"/>
  <c r="K61" i="352"/>
  <c r="AA60" i="352"/>
  <c r="AC80" i="352" s="1"/>
  <c r="U60" i="352"/>
  <c r="T60" i="352"/>
  <c r="S60" i="352"/>
  <c r="Q60" i="352"/>
  <c r="K60" i="352"/>
  <c r="AB59" i="352"/>
  <c r="AA59" i="352"/>
  <c r="AC79" i="352" s="1"/>
  <c r="U59" i="352"/>
  <c r="T59" i="352"/>
  <c r="S59" i="352"/>
  <c r="Q59" i="352"/>
  <c r="K59" i="352"/>
  <c r="AM58" i="352"/>
  <c r="AB58" i="352"/>
  <c r="AA58" i="352"/>
  <c r="U58" i="352"/>
  <c r="T58" i="352"/>
  <c r="S58" i="352"/>
  <c r="Q58" i="352"/>
  <c r="K58" i="352"/>
  <c r="U57" i="352"/>
  <c r="T57" i="352"/>
  <c r="S57" i="352"/>
  <c r="Q57" i="352"/>
  <c r="K57" i="352"/>
  <c r="U56" i="352"/>
  <c r="T56" i="352"/>
  <c r="S56" i="352"/>
  <c r="Q56" i="352"/>
  <c r="K56" i="352"/>
  <c r="U55" i="352"/>
  <c r="T55" i="352"/>
  <c r="S55" i="352"/>
  <c r="Q55" i="352"/>
  <c r="K55" i="352"/>
  <c r="U54" i="352"/>
  <c r="T54" i="352"/>
  <c r="S54" i="352"/>
  <c r="Q54" i="352"/>
  <c r="K54" i="352"/>
  <c r="Y53" i="352"/>
  <c r="U53" i="352"/>
  <c r="T53" i="352"/>
  <c r="Q53" i="352"/>
  <c r="S53" i="352" s="1"/>
  <c r="K53" i="352"/>
  <c r="U52" i="352"/>
  <c r="T52" i="352"/>
  <c r="S52" i="352"/>
  <c r="Q52" i="352"/>
  <c r="K52" i="352"/>
  <c r="Y51" i="352"/>
  <c r="U51" i="352"/>
  <c r="T51" i="352"/>
  <c r="S51" i="352"/>
  <c r="Q51" i="352"/>
  <c r="K51" i="352"/>
  <c r="AB50" i="352"/>
  <c r="U50" i="352"/>
  <c r="T50" i="352"/>
  <c r="S50" i="352"/>
  <c r="Q50" i="352"/>
  <c r="K50" i="352"/>
  <c r="Y49" i="352"/>
  <c r="Z49" i="352" s="1"/>
  <c r="U49" i="352"/>
  <c r="T49" i="352"/>
  <c r="S49" i="352"/>
  <c r="Q49" i="352"/>
  <c r="K49" i="352"/>
  <c r="Y48" i="352"/>
  <c r="Z48" i="352" s="1"/>
  <c r="U48" i="352"/>
  <c r="T48" i="352"/>
  <c r="S48" i="352"/>
  <c r="Q48" i="352"/>
  <c r="K48" i="352"/>
  <c r="U47" i="352"/>
  <c r="T47" i="352"/>
  <c r="S47" i="352"/>
  <c r="Q47" i="352"/>
  <c r="K47" i="352"/>
  <c r="U46" i="352"/>
  <c r="T46" i="352"/>
  <c r="Q46" i="352"/>
  <c r="S46" i="352" s="1"/>
  <c r="K46" i="352"/>
  <c r="AB45" i="352"/>
  <c r="AA45" i="352"/>
  <c r="U45" i="352"/>
  <c r="T45" i="352"/>
  <c r="S45" i="352"/>
  <c r="Q45" i="352"/>
  <c r="K45" i="352"/>
  <c r="AB44" i="352"/>
  <c r="AA44" i="352"/>
  <c r="U44" i="352"/>
  <c r="T44" i="352"/>
  <c r="S44" i="352"/>
  <c r="Q44" i="352"/>
  <c r="K44" i="352"/>
  <c r="AB43" i="352"/>
  <c r="AA43" i="352"/>
  <c r="U43" i="352"/>
  <c r="T43" i="352"/>
  <c r="S43" i="352"/>
  <c r="Q43" i="352"/>
  <c r="K43" i="352"/>
  <c r="U42" i="352"/>
  <c r="T42" i="352"/>
  <c r="Q42" i="352"/>
  <c r="S42" i="352" s="1"/>
  <c r="K42" i="352"/>
  <c r="U41" i="352"/>
  <c r="T41" i="352"/>
  <c r="S41" i="352"/>
  <c r="Q41" i="352"/>
  <c r="K41" i="352"/>
  <c r="U40" i="352"/>
  <c r="T40" i="352"/>
  <c r="S40" i="352"/>
  <c r="K40" i="352"/>
  <c r="U39" i="352"/>
  <c r="T39" i="352"/>
  <c r="S39" i="352"/>
  <c r="Q39" i="352"/>
  <c r="K39" i="352"/>
  <c r="U38" i="352"/>
  <c r="T38" i="352"/>
  <c r="Q38" i="352"/>
  <c r="S38" i="352" s="1"/>
  <c r="K38" i="352"/>
  <c r="U37" i="352"/>
  <c r="T37" i="352"/>
  <c r="S37" i="352"/>
  <c r="Q37" i="352"/>
  <c r="K37" i="352"/>
  <c r="Z36" i="352"/>
  <c r="AA36" i="352" s="1"/>
  <c r="U36" i="352"/>
  <c r="T36" i="352"/>
  <c r="S36" i="352"/>
  <c r="Q36" i="352"/>
  <c r="K36" i="352"/>
  <c r="Z35" i="352"/>
  <c r="U35" i="352"/>
  <c r="T35" i="352"/>
  <c r="S35" i="352"/>
  <c r="Q35" i="352"/>
  <c r="K35" i="352"/>
  <c r="AC34" i="352"/>
  <c r="AD34" i="352" s="1"/>
  <c r="U34" i="352"/>
  <c r="T34" i="352"/>
  <c r="S34" i="352"/>
  <c r="Q34" i="352"/>
  <c r="K34" i="352"/>
  <c r="U33" i="352"/>
  <c r="T33" i="352"/>
  <c r="S33" i="352"/>
  <c r="Q33" i="352"/>
  <c r="K33" i="352"/>
  <c r="U32" i="352"/>
  <c r="T32" i="352"/>
  <c r="S32" i="352"/>
  <c r="Q32" i="352"/>
  <c r="K32" i="352"/>
  <c r="U31" i="352"/>
  <c r="T31" i="352"/>
  <c r="S31" i="352"/>
  <c r="Q31" i="352"/>
  <c r="K31" i="352"/>
  <c r="Z30" i="352"/>
  <c r="Z10" i="352" s="1"/>
  <c r="Z14" i="352" s="1"/>
  <c r="Z18" i="352" s="1"/>
  <c r="Z24" i="352" s="1"/>
  <c r="U30" i="352"/>
  <c r="T30" i="352"/>
  <c r="S30" i="352"/>
  <c r="Q30" i="352"/>
  <c r="K30" i="352"/>
  <c r="U29" i="352"/>
  <c r="T29" i="352"/>
  <c r="S29" i="352"/>
  <c r="Q29" i="352"/>
  <c r="K29" i="352"/>
  <c r="U28" i="352"/>
  <c r="T28" i="352"/>
  <c r="S28" i="352"/>
  <c r="Q28" i="352"/>
  <c r="K28" i="352"/>
  <c r="U27" i="352"/>
  <c r="T27" i="352"/>
  <c r="S27" i="352"/>
  <c r="Q27" i="352"/>
  <c r="K27" i="352"/>
  <c r="T26" i="352"/>
  <c r="S26" i="352"/>
  <c r="Q26" i="352"/>
  <c r="U26" i="352" s="1"/>
  <c r="K26" i="352"/>
  <c r="U25" i="352"/>
  <c r="T25" i="352"/>
  <c r="Q25" i="352"/>
  <c r="S25" i="352" s="1"/>
  <c r="K25" i="352"/>
  <c r="U24" i="352"/>
  <c r="T24" i="352"/>
  <c r="S24" i="352"/>
  <c r="Q24" i="352"/>
  <c r="K24" i="352"/>
  <c r="U23" i="352"/>
  <c r="T23" i="352"/>
  <c r="S23" i="352"/>
  <c r="Q23" i="352"/>
  <c r="K23" i="352"/>
  <c r="U22" i="352"/>
  <c r="T22" i="352"/>
  <c r="Q22" i="352"/>
  <c r="S22" i="352" s="1"/>
  <c r="K22" i="352"/>
  <c r="U21" i="352"/>
  <c r="T21" i="352"/>
  <c r="S21" i="352"/>
  <c r="Q21" i="352"/>
  <c r="K21" i="352"/>
  <c r="U20" i="352"/>
  <c r="T20" i="352"/>
  <c r="Q20" i="352"/>
  <c r="S20" i="352" s="1"/>
  <c r="K20" i="352"/>
  <c r="U19" i="352"/>
  <c r="T19" i="352"/>
  <c r="Q19" i="352"/>
  <c r="S19" i="352" s="1"/>
  <c r="K19" i="352"/>
  <c r="U18" i="352"/>
  <c r="S18" i="352"/>
  <c r="Q18" i="352"/>
  <c r="T18" i="352" s="1"/>
  <c r="AB94" i="352" s="1"/>
  <c r="K18" i="352"/>
  <c r="U17" i="352"/>
  <c r="S17" i="352"/>
  <c r="Q17" i="352"/>
  <c r="T17" i="352" s="1"/>
  <c r="K17" i="352"/>
  <c r="U16" i="352"/>
  <c r="T16" i="352"/>
  <c r="S16" i="352"/>
  <c r="K16" i="352"/>
  <c r="Z15" i="352"/>
  <c r="Z16" i="352" s="1"/>
  <c r="AA16" i="352" s="1"/>
  <c r="U15" i="352"/>
  <c r="T15" i="352"/>
  <c r="Q15" i="352"/>
  <c r="S15" i="352" s="1"/>
  <c r="K15" i="352"/>
  <c r="U14" i="352"/>
  <c r="T14" i="352"/>
  <c r="Q14" i="352"/>
  <c r="S14" i="352" s="1"/>
  <c r="K14" i="352"/>
  <c r="U13" i="352"/>
  <c r="T13" i="352"/>
  <c r="Q13" i="352"/>
  <c r="S13" i="352" s="1"/>
  <c r="K13" i="352"/>
  <c r="AC12" i="352"/>
  <c r="AB12" i="352"/>
  <c r="AA12" i="352"/>
  <c r="U12" i="352"/>
  <c r="T12" i="352"/>
  <c r="Q12" i="352"/>
  <c r="S12" i="352" s="1"/>
  <c r="K12" i="352"/>
  <c r="AA11" i="352"/>
  <c r="U11" i="352"/>
  <c r="T11" i="352"/>
  <c r="Q11" i="352"/>
  <c r="S11" i="352" s="1"/>
  <c r="K11" i="352"/>
  <c r="AB10" i="352"/>
  <c r="AC61" i="352" s="1"/>
  <c r="U10" i="352"/>
  <c r="Q10" i="352"/>
  <c r="K10" i="352"/>
  <c r="AA9" i="352"/>
  <c r="U9" i="352"/>
  <c r="Q9" i="352"/>
  <c r="T9" i="352" s="1"/>
  <c r="K9" i="352"/>
  <c r="Z8" i="352"/>
  <c r="U8" i="352"/>
  <c r="T8" i="352"/>
  <c r="Q8" i="352"/>
  <c r="S8" i="352" s="1"/>
  <c r="K8" i="352"/>
  <c r="Z7" i="352"/>
  <c r="U7" i="352"/>
  <c r="Q7" i="352"/>
  <c r="T7" i="352" s="1"/>
  <c r="K7" i="352"/>
  <c r="Z6" i="352"/>
  <c r="U6" i="352"/>
  <c r="T6" i="352"/>
  <c r="Q6" i="352"/>
  <c r="S6" i="352" s="1"/>
  <c r="K6" i="352"/>
  <c r="U5" i="352"/>
  <c r="S5" i="352"/>
  <c r="Q5" i="352"/>
  <c r="T5" i="352" s="1"/>
  <c r="K5" i="352"/>
  <c r="U4" i="352"/>
  <c r="S4" i="352"/>
  <c r="Q4" i="352"/>
  <c r="T4" i="352" s="1"/>
  <c r="K4" i="352"/>
  <c r="AE3" i="352"/>
  <c r="U3" i="352"/>
  <c r="S3" i="352"/>
  <c r="Q3" i="352"/>
  <c r="T3" i="352" s="1"/>
  <c r="K3" i="352"/>
  <c r="U2" i="352"/>
  <c r="T2" i="352"/>
  <c r="Q2" i="352"/>
  <c r="K2" i="352"/>
  <c r="X11" i="361" l="1"/>
  <c r="W12" i="361"/>
  <c r="W11" i="360"/>
  <c r="X10" i="360"/>
  <c r="W12" i="359"/>
  <c r="X11" i="359"/>
  <c r="W10" i="358"/>
  <c r="X9" i="358"/>
  <c r="X6" i="357"/>
  <c r="W7" i="357"/>
  <c r="X5" i="356"/>
  <c r="W6" i="356"/>
  <c r="AE81" i="355"/>
  <c r="AF78" i="355"/>
  <c r="AF81" i="355" s="1"/>
  <c r="W5" i="355"/>
  <c r="X4" i="355"/>
  <c r="AD81" i="355"/>
  <c r="AK75" i="355"/>
  <c r="Z58" i="353"/>
  <c r="AE4" i="353"/>
  <c r="AB5" i="353"/>
  <c r="Z3" i="353"/>
  <c r="Z5" i="353" s="1"/>
  <c r="Z4" i="353"/>
  <c r="Z59" i="353"/>
  <c r="AC5" i="353"/>
  <c r="O69" i="353"/>
  <c r="O72" i="353"/>
  <c r="O71" i="353"/>
  <c r="O67" i="353"/>
  <c r="O63" i="353"/>
  <c r="O61" i="353"/>
  <c r="O78" i="353"/>
  <c r="O64" i="353"/>
  <c r="O79" i="353"/>
  <c r="O77" i="353"/>
  <c r="O60" i="353"/>
  <c r="O59" i="353"/>
  <c r="O57" i="353"/>
  <c r="W4" i="353"/>
  <c r="O73" i="353"/>
  <c r="O58" i="353"/>
  <c r="O66" i="353"/>
  <c r="AB92" i="353"/>
  <c r="O102" i="353"/>
  <c r="O100" i="353"/>
  <c r="O94" i="353"/>
  <c r="O103" i="353"/>
  <c r="O101" i="353"/>
  <c r="O97" i="353"/>
  <c r="O95" i="353"/>
  <c r="O96" i="353"/>
  <c r="O98" i="353"/>
  <c r="O99" i="353"/>
  <c r="L2" i="353"/>
  <c r="AG4" i="353"/>
  <c r="AG5" i="353" s="1"/>
  <c r="AF4" i="353"/>
  <c r="AF5" i="353" s="1"/>
  <c r="O89" i="353"/>
  <c r="O87" i="353"/>
  <c r="O92" i="353"/>
  <c r="O86" i="353"/>
  <c r="O76" i="353"/>
  <c r="O75" i="353"/>
  <c r="O80" i="353"/>
  <c r="O85" i="353"/>
  <c r="Z60" i="353"/>
  <c r="AA35" i="353"/>
  <c r="AD6" i="353"/>
  <c r="AD5" i="353"/>
  <c r="AA34" i="353" s="1"/>
  <c r="AB34" i="353" s="1"/>
  <c r="O70" i="353"/>
  <c r="N2" i="353"/>
  <c r="O62" i="353"/>
  <c r="AA5" i="353"/>
  <c r="O65" i="353"/>
  <c r="K105" i="353"/>
  <c r="K108" i="353" s="1"/>
  <c r="K110" i="353" s="1"/>
  <c r="V67" i="352"/>
  <c r="V70" i="352"/>
  <c r="V77" i="352"/>
  <c r="V45" i="352"/>
  <c r="V100" i="352"/>
  <c r="V19" i="352"/>
  <c r="V44" i="352"/>
  <c r="V79" i="352"/>
  <c r="V91" i="352"/>
  <c r="V53" i="352"/>
  <c r="V59" i="352"/>
  <c r="V46" i="352"/>
  <c r="V48" i="352"/>
  <c r="V94" i="352"/>
  <c r="V32" i="352"/>
  <c r="AB47" i="352"/>
  <c r="V57" i="352"/>
  <c r="V63" i="352"/>
  <c r="V80" i="352"/>
  <c r="R52" i="352"/>
  <c r="V58" i="352"/>
  <c r="V62" i="352"/>
  <c r="V72" i="352"/>
  <c r="V74" i="352"/>
  <c r="V38" i="352"/>
  <c r="V49" i="352"/>
  <c r="V54" i="352"/>
  <c r="V55" i="352"/>
  <c r="V60" i="352"/>
  <c r="V68" i="352"/>
  <c r="N81" i="352"/>
  <c r="O81" i="352" s="1"/>
  <c r="V98" i="352"/>
  <c r="V21" i="352"/>
  <c r="V42" i="352"/>
  <c r="AC43" i="352"/>
  <c r="AC44" i="352"/>
  <c r="V47" i="352"/>
  <c r="V52" i="352"/>
  <c r="V65" i="352"/>
  <c r="V75" i="352"/>
  <c r="V85" i="352"/>
  <c r="V89" i="352"/>
  <c r="V93" i="352"/>
  <c r="V3" i="352"/>
  <c r="AD36" i="352"/>
  <c r="AD35" i="352"/>
  <c r="V51" i="352"/>
  <c r="V83" i="352"/>
  <c r="V41" i="352"/>
  <c r="V69" i="352"/>
  <c r="V96" i="352"/>
  <c r="V23" i="352"/>
  <c r="V34" i="352"/>
  <c r="AC45" i="352"/>
  <c r="R50" i="352"/>
  <c r="AC58" i="352"/>
  <c r="V61" i="352"/>
  <c r="V66" i="352"/>
  <c r="V14" i="352"/>
  <c r="AA15" i="352"/>
  <c r="AB102" i="352"/>
  <c r="V31" i="352"/>
  <c r="V36" i="352"/>
  <c r="V40" i="352"/>
  <c r="V50" i="352"/>
  <c r="V56" i="352"/>
  <c r="AB62" i="352"/>
  <c r="V64" i="352"/>
  <c r="V71" i="352"/>
  <c r="V73" i="352"/>
  <c r="V81" i="352"/>
  <c r="V92" i="352"/>
  <c r="V102" i="352"/>
  <c r="AA10" i="352"/>
  <c r="V26" i="352"/>
  <c r="V28" i="352"/>
  <c r="V12" i="352"/>
  <c r="V15" i="352"/>
  <c r="V24" i="352"/>
  <c r="V25" i="352"/>
  <c r="V4" i="352"/>
  <c r="V5" i="352"/>
  <c r="S9" i="352"/>
  <c r="V9" i="352" s="1"/>
  <c r="S7" i="352"/>
  <c r="V7" i="352" s="1"/>
  <c r="V22" i="352"/>
  <c r="V29" i="352"/>
  <c r="V8" i="352"/>
  <c r="V17" i="352"/>
  <c r="AK79" i="352"/>
  <c r="Q105" i="352"/>
  <c r="S2" i="352"/>
  <c r="V18" i="352"/>
  <c r="AB99" i="352"/>
  <c r="Z13" i="352"/>
  <c r="S10" i="352"/>
  <c r="T10" i="352"/>
  <c r="AB95" i="352" s="1"/>
  <c r="V13" i="352"/>
  <c r="K105" i="352"/>
  <c r="K108" i="352" s="1"/>
  <c r="K110" i="352" s="1"/>
  <c r="N2" i="352"/>
  <c r="O15" i="352" s="1"/>
  <c r="V6" i="352"/>
  <c r="V11" i="352"/>
  <c r="AA4" i="352"/>
  <c r="AA3" i="352"/>
  <c r="AB92" i="352"/>
  <c r="H105" i="352"/>
  <c r="H107" i="352" s="1"/>
  <c r="AA97" i="352"/>
  <c r="AA42" i="352"/>
  <c r="AB98" i="352"/>
  <c r="V27" i="352"/>
  <c r="V33" i="352"/>
  <c r="V35" i="352"/>
  <c r="V37" i="352"/>
  <c r="Z37" i="352"/>
  <c r="N56" i="352"/>
  <c r="O75" i="352" s="1"/>
  <c r="V82" i="352"/>
  <c r="V84" i="352"/>
  <c r="X84" i="352" s="1"/>
  <c r="V86" i="352"/>
  <c r="V87" i="352"/>
  <c r="U105" i="352"/>
  <c r="AD4" i="352" s="1"/>
  <c r="AA92" i="352"/>
  <c r="I105" i="352"/>
  <c r="N27" i="352"/>
  <c r="O47" i="352" s="1"/>
  <c r="V30" i="352"/>
  <c r="AA68" i="352"/>
  <c r="V39" i="352"/>
  <c r="AB42" i="352"/>
  <c r="V43" i="352"/>
  <c r="R54" i="352"/>
  <c r="R105" i="352" s="1"/>
  <c r="V88" i="352"/>
  <c r="N94" i="352"/>
  <c r="V101" i="352"/>
  <c r="AA62" i="352"/>
  <c r="AA61" i="352"/>
  <c r="AC78" i="352"/>
  <c r="AC81" i="352" s="1"/>
  <c r="Y55" i="352"/>
  <c r="Z72" i="352"/>
  <c r="AA69" i="352"/>
  <c r="V16" i="352"/>
  <c r="V20" i="352"/>
  <c r="AE34" i="352"/>
  <c r="AB36" i="352"/>
  <c r="N85" i="352"/>
  <c r="O90" i="352" s="1"/>
  <c r="AB93" i="352"/>
  <c r="AC35" i="352"/>
  <c r="AC36" i="352"/>
  <c r="AB61" i="352"/>
  <c r="V95" i="352"/>
  <c r="V97" i="352"/>
  <c r="V99" i="352"/>
  <c r="V103" i="352"/>
  <c r="AB100" i="352"/>
  <c r="N50" i="352"/>
  <c r="V76" i="352"/>
  <c r="V78" i="352"/>
  <c r="V90" i="352"/>
  <c r="AF59" i="350"/>
  <c r="W13" i="361" l="1"/>
  <c r="X12" i="361"/>
  <c r="X11" i="360"/>
  <c r="W12" i="360"/>
  <c r="W13" i="359"/>
  <c r="X12" i="359"/>
  <c r="X10" i="358"/>
  <c r="W11" i="358"/>
  <c r="W8" i="357"/>
  <c r="X7" i="357"/>
  <c r="W7" i="356"/>
  <c r="X6" i="356"/>
  <c r="W6" i="355"/>
  <c r="X5" i="355"/>
  <c r="AK78" i="355"/>
  <c r="AL79" i="355" s="1"/>
  <c r="AL75" i="355"/>
  <c r="AL78" i="355" s="1"/>
  <c r="N105" i="353"/>
  <c r="O20" i="353"/>
  <c r="O13" i="353"/>
  <c r="O12" i="353"/>
  <c r="O10" i="353"/>
  <c r="O2" i="353"/>
  <c r="O26" i="353"/>
  <c r="O25" i="353"/>
  <c r="O22" i="353"/>
  <c r="O5" i="353"/>
  <c r="O11" i="353"/>
  <c r="O19" i="353"/>
  <c r="O28" i="353"/>
  <c r="O24" i="353"/>
  <c r="O16" i="353"/>
  <c r="O3" i="353"/>
  <c r="O6" i="353"/>
  <c r="O29" i="353"/>
  <c r="O17" i="353"/>
  <c r="O4" i="353"/>
  <c r="O15" i="353"/>
  <c r="O9" i="353"/>
  <c r="O8" i="353"/>
  <c r="O14" i="353"/>
  <c r="O27" i="353"/>
  <c r="W5" i="353"/>
  <c r="AE5" i="353"/>
  <c r="O7" i="353"/>
  <c r="AA37" i="353"/>
  <c r="AB37" i="353" s="1"/>
  <c r="AB35" i="353"/>
  <c r="L3" i="353"/>
  <c r="X2" i="353"/>
  <c r="AB79" i="353"/>
  <c r="AD79" i="353" s="1"/>
  <c r="AK76" i="353" s="1"/>
  <c r="AL76" i="353" s="1"/>
  <c r="AD59" i="353"/>
  <c r="AE79" i="353" s="1"/>
  <c r="AF79" i="353" s="1"/>
  <c r="Z53" i="353"/>
  <c r="AD60" i="353"/>
  <c r="AE80" i="353" s="1"/>
  <c r="AF80" i="353" s="1"/>
  <c r="AB80" i="353"/>
  <c r="AD80" i="353" s="1"/>
  <c r="AK77" i="353" s="1"/>
  <c r="AL77" i="353" s="1"/>
  <c r="AB78" i="353"/>
  <c r="AD58" i="353"/>
  <c r="Z61" i="353"/>
  <c r="AB17" i="353" s="1"/>
  <c r="Z62" i="353"/>
  <c r="AE36" i="352"/>
  <c r="AD37" i="352"/>
  <c r="O45" i="352"/>
  <c r="O70" i="352"/>
  <c r="O91" i="352"/>
  <c r="O76" i="352"/>
  <c r="O84" i="352"/>
  <c r="O83" i="352"/>
  <c r="O82" i="352"/>
  <c r="O43" i="352"/>
  <c r="O73" i="352"/>
  <c r="O65" i="352"/>
  <c r="O42" i="352"/>
  <c r="O68" i="352"/>
  <c r="O56" i="352"/>
  <c r="AC42" i="352"/>
  <c r="T105" i="352"/>
  <c r="AB4" i="352" s="1"/>
  <c r="Z58" i="352" s="1"/>
  <c r="O30" i="352"/>
  <c r="O62" i="352"/>
  <c r="O34" i="352"/>
  <c r="O49" i="352"/>
  <c r="O39" i="352"/>
  <c r="O78" i="352"/>
  <c r="O59" i="352"/>
  <c r="O57" i="352"/>
  <c r="O31" i="352"/>
  <c r="O28" i="352"/>
  <c r="O20" i="352"/>
  <c r="O22" i="352"/>
  <c r="L2" i="352"/>
  <c r="L3" i="352" s="1"/>
  <c r="L4" i="352" s="1"/>
  <c r="L5" i="352" s="1"/>
  <c r="L6" i="352" s="1"/>
  <c r="L7" i="352" s="1"/>
  <c r="L8" i="352" s="1"/>
  <c r="L9" i="352" s="1"/>
  <c r="L10" i="352" s="1"/>
  <c r="L11" i="352" s="1"/>
  <c r="L12" i="352" s="1"/>
  <c r="L13" i="352" s="1"/>
  <c r="L14" i="352" s="1"/>
  <c r="L15" i="352" s="1"/>
  <c r="L16" i="352" s="1"/>
  <c r="L17" i="352" s="1"/>
  <c r="L18" i="352" s="1"/>
  <c r="L19" i="352" s="1"/>
  <c r="L20" i="352" s="1"/>
  <c r="L21" i="352" s="1"/>
  <c r="L22" i="352" s="1"/>
  <c r="L23" i="352" s="1"/>
  <c r="L24" i="352" s="1"/>
  <c r="L25" i="352" s="1"/>
  <c r="L26" i="352" s="1"/>
  <c r="L27" i="352" s="1"/>
  <c r="L28" i="352" s="1"/>
  <c r="L29" i="352" s="1"/>
  <c r="L30" i="352" s="1"/>
  <c r="L31" i="352" s="1"/>
  <c r="L32" i="352" s="1"/>
  <c r="L33" i="352" s="1"/>
  <c r="L34" i="352" s="1"/>
  <c r="L35" i="352" s="1"/>
  <c r="L36" i="352" s="1"/>
  <c r="L37" i="352" s="1"/>
  <c r="L38" i="352" s="1"/>
  <c r="L39" i="352" s="1"/>
  <c r="L40" i="352" s="1"/>
  <c r="L41" i="352" s="1"/>
  <c r="L42" i="352" s="1"/>
  <c r="L43" i="352" s="1"/>
  <c r="L44" i="352" s="1"/>
  <c r="L45" i="352" s="1"/>
  <c r="L46" i="352" s="1"/>
  <c r="L47" i="352" s="1"/>
  <c r="L48" i="352" s="1"/>
  <c r="L49" i="352" s="1"/>
  <c r="L50" i="352" s="1"/>
  <c r="L51" i="352" s="1"/>
  <c r="L52" i="352" s="1"/>
  <c r="L53" i="352" s="1"/>
  <c r="L54" i="352" s="1"/>
  <c r="L55" i="352" s="1"/>
  <c r="L56" i="352" s="1"/>
  <c r="L57" i="352" s="1"/>
  <c r="L58" i="352" s="1"/>
  <c r="L59" i="352" s="1"/>
  <c r="L60" i="352" s="1"/>
  <c r="L61" i="352" s="1"/>
  <c r="L62" i="352" s="1"/>
  <c r="L63" i="352" s="1"/>
  <c r="L64" i="352" s="1"/>
  <c r="L65" i="352" s="1"/>
  <c r="L66" i="352" s="1"/>
  <c r="L67" i="352" s="1"/>
  <c r="L68" i="352" s="1"/>
  <c r="L69" i="352" s="1"/>
  <c r="L70" i="352" s="1"/>
  <c r="L71" i="352" s="1"/>
  <c r="L72" i="352" s="1"/>
  <c r="L73" i="352" s="1"/>
  <c r="L74" i="352" s="1"/>
  <c r="L75" i="352" s="1"/>
  <c r="L76" i="352" s="1"/>
  <c r="L77" i="352" s="1"/>
  <c r="L78" i="352" s="1"/>
  <c r="L79" i="352" s="1"/>
  <c r="L80" i="352" s="1"/>
  <c r="L81" i="352" s="1"/>
  <c r="L82" i="352" s="1"/>
  <c r="L83" i="352" s="1"/>
  <c r="L84" i="352" s="1"/>
  <c r="L85" i="352" s="1"/>
  <c r="L86" i="352" s="1"/>
  <c r="L87" i="352" s="1"/>
  <c r="L88" i="352" s="1"/>
  <c r="L89" i="352" s="1"/>
  <c r="L90" i="352" s="1"/>
  <c r="L91" i="352" s="1"/>
  <c r="L92" i="352" s="1"/>
  <c r="L93" i="352" s="1"/>
  <c r="L94" i="352" s="1"/>
  <c r="L95" i="352" s="1"/>
  <c r="L96" i="352" s="1"/>
  <c r="L97" i="352" s="1"/>
  <c r="L98" i="352" s="1"/>
  <c r="L99" i="352" s="1"/>
  <c r="L100" i="352" s="1"/>
  <c r="L101" i="352" s="1"/>
  <c r="L102" i="352" s="1"/>
  <c r="L103" i="352" s="1"/>
  <c r="L105" i="352" s="1"/>
  <c r="O89" i="352"/>
  <c r="O88" i="352"/>
  <c r="O87" i="352"/>
  <c r="O86" i="352"/>
  <c r="O55" i="352"/>
  <c r="O32" i="352"/>
  <c r="O50" i="352"/>
  <c r="O41" i="352"/>
  <c r="O54" i="352"/>
  <c r="O37" i="352"/>
  <c r="O35" i="352"/>
  <c r="O53" i="352"/>
  <c r="O38" i="352"/>
  <c r="O36" i="352"/>
  <c r="O92" i="352"/>
  <c r="O44" i="352"/>
  <c r="N105" i="352"/>
  <c r="O26" i="352"/>
  <c r="O16" i="352"/>
  <c r="O8" i="352"/>
  <c r="O3" i="352"/>
  <c r="O27" i="352"/>
  <c r="O25" i="352"/>
  <c r="O24" i="352"/>
  <c r="O29" i="352"/>
  <c r="O19" i="352"/>
  <c r="O17" i="352"/>
  <c r="O13" i="352"/>
  <c r="O4" i="352"/>
  <c r="O11" i="352"/>
  <c r="O6" i="352"/>
  <c r="O9" i="352"/>
  <c r="V10" i="352"/>
  <c r="O10" i="352"/>
  <c r="AE35" i="352"/>
  <c r="AE37" i="352" s="1"/>
  <c r="AC37" i="352"/>
  <c r="O85" i="352"/>
  <c r="O46" i="352"/>
  <c r="O93" i="352"/>
  <c r="O33" i="352"/>
  <c r="O102" i="352"/>
  <c r="O100" i="352"/>
  <c r="O94" i="352"/>
  <c r="O98" i="352"/>
  <c r="O96" i="352"/>
  <c r="O103" i="352"/>
  <c r="O99" i="352"/>
  <c r="O97" i="352"/>
  <c r="O95" i="352"/>
  <c r="O101" i="352"/>
  <c r="O79" i="352"/>
  <c r="O77" i="352"/>
  <c r="O72" i="352"/>
  <c r="O69" i="352"/>
  <c r="O67" i="352"/>
  <c r="O63" i="352"/>
  <c r="O61" i="352"/>
  <c r="O60" i="352"/>
  <c r="O66" i="352"/>
  <c r="O64" i="352"/>
  <c r="O58" i="352"/>
  <c r="O80" i="352"/>
  <c r="O74" i="352"/>
  <c r="O71" i="352"/>
  <c r="AG3" i="352"/>
  <c r="AA5" i="352"/>
  <c r="AF3" i="352"/>
  <c r="O5" i="352"/>
  <c r="O12" i="352"/>
  <c r="O2" i="352"/>
  <c r="O14" i="352"/>
  <c r="O7" i="352"/>
  <c r="S105" i="352"/>
  <c r="AC4" i="352" s="1"/>
  <c r="AB97" i="352"/>
  <c r="V2" i="352"/>
  <c r="AA35" i="352"/>
  <c r="AD6" i="352"/>
  <c r="Z60" i="352"/>
  <c r="AD5" i="352"/>
  <c r="AA34" i="352" s="1"/>
  <c r="AB34" i="352" s="1"/>
  <c r="Z3" i="352"/>
  <c r="Z4" i="352"/>
  <c r="Z8" i="351"/>
  <c r="Z72" i="351" s="1"/>
  <c r="U123" i="351"/>
  <c r="I113" i="351"/>
  <c r="P105" i="351"/>
  <c r="M105" i="351"/>
  <c r="J105" i="351"/>
  <c r="U103" i="351"/>
  <c r="T103" i="351"/>
  <c r="S103" i="351"/>
  <c r="Q103" i="351"/>
  <c r="K103" i="351"/>
  <c r="AA102" i="351"/>
  <c r="U102" i="351"/>
  <c r="T102" i="351"/>
  <c r="V102" i="351" s="1"/>
  <c r="S102" i="351"/>
  <c r="Q102" i="351"/>
  <c r="K102" i="351"/>
  <c r="U101" i="351"/>
  <c r="T101" i="351"/>
  <c r="S101" i="351"/>
  <c r="Q101" i="351"/>
  <c r="K101" i="351"/>
  <c r="AA100" i="351"/>
  <c r="U100" i="351"/>
  <c r="T100" i="351"/>
  <c r="V100" i="351" s="1"/>
  <c r="S100" i="351"/>
  <c r="Q100" i="351"/>
  <c r="K100" i="351"/>
  <c r="AB99" i="351"/>
  <c r="AA99" i="351"/>
  <c r="U99" i="351"/>
  <c r="T99" i="351"/>
  <c r="S99" i="351"/>
  <c r="Q99" i="351"/>
  <c r="K99" i="351"/>
  <c r="AA98" i="351"/>
  <c r="V98" i="351"/>
  <c r="U98" i="351"/>
  <c r="T98" i="351"/>
  <c r="S98" i="351"/>
  <c r="Q98" i="351"/>
  <c r="K98" i="351"/>
  <c r="U97" i="351"/>
  <c r="T97" i="351"/>
  <c r="S97" i="351"/>
  <c r="V97" i="351" s="1"/>
  <c r="Q97" i="351"/>
  <c r="K97" i="351"/>
  <c r="V96" i="351"/>
  <c r="U96" i="351"/>
  <c r="T96" i="351"/>
  <c r="S96" i="351"/>
  <c r="Q96" i="351"/>
  <c r="K96" i="351"/>
  <c r="AA95" i="351"/>
  <c r="U95" i="351"/>
  <c r="T95" i="351"/>
  <c r="S95" i="351"/>
  <c r="V95" i="351" s="1"/>
  <c r="Q95" i="351"/>
  <c r="K95" i="351"/>
  <c r="AA94" i="351"/>
  <c r="V94" i="351"/>
  <c r="U94" i="351"/>
  <c r="T94" i="351"/>
  <c r="S94" i="351"/>
  <c r="Q94" i="351"/>
  <c r="K94" i="351"/>
  <c r="N94" i="351" s="1"/>
  <c r="AA93" i="351"/>
  <c r="U93" i="351"/>
  <c r="T93" i="351"/>
  <c r="V93" i="351" s="1"/>
  <c r="S93" i="351"/>
  <c r="Q93" i="351"/>
  <c r="K93" i="351"/>
  <c r="U92" i="351"/>
  <c r="T92" i="351"/>
  <c r="S92" i="351"/>
  <c r="V92" i="351" s="1"/>
  <c r="Q92" i="351"/>
  <c r="K92" i="351"/>
  <c r="V91" i="351"/>
  <c r="U91" i="351"/>
  <c r="T91" i="351"/>
  <c r="S91" i="351"/>
  <c r="Q91" i="351"/>
  <c r="K91" i="351"/>
  <c r="U90" i="351"/>
  <c r="T90" i="351"/>
  <c r="S90" i="351"/>
  <c r="Q90" i="351"/>
  <c r="K90" i="351"/>
  <c r="U89" i="351"/>
  <c r="T89" i="351"/>
  <c r="V89" i="351" s="1"/>
  <c r="S89" i="351"/>
  <c r="Q89" i="351"/>
  <c r="K89" i="351"/>
  <c r="U88" i="351"/>
  <c r="T88" i="351"/>
  <c r="S88" i="351"/>
  <c r="V88" i="351" s="1"/>
  <c r="Q88" i="351"/>
  <c r="K88" i="351"/>
  <c r="AE87" i="351"/>
  <c r="AF86" i="351" s="1"/>
  <c r="AG86" i="351" s="1"/>
  <c r="AH86" i="351" s="1"/>
  <c r="AH87" i="351" s="1"/>
  <c r="AH88" i="351" s="1"/>
  <c r="AA87" i="351"/>
  <c r="Y87" i="351"/>
  <c r="U87" i="351"/>
  <c r="T87" i="351"/>
  <c r="S87" i="351"/>
  <c r="Q87" i="351"/>
  <c r="K87" i="351"/>
  <c r="U86" i="351"/>
  <c r="T86" i="351"/>
  <c r="S86" i="351"/>
  <c r="Q86" i="351"/>
  <c r="K86" i="351"/>
  <c r="U85" i="351"/>
  <c r="T85" i="351"/>
  <c r="V85" i="351" s="1"/>
  <c r="S85" i="351"/>
  <c r="Q85" i="351"/>
  <c r="K85" i="351"/>
  <c r="U84" i="351"/>
  <c r="T84" i="351"/>
  <c r="S84" i="351"/>
  <c r="Q84" i="351"/>
  <c r="O84" i="351"/>
  <c r="K84" i="351"/>
  <c r="U83" i="351"/>
  <c r="T83" i="351"/>
  <c r="V83" i="351" s="1"/>
  <c r="S83" i="351"/>
  <c r="Q83" i="351"/>
  <c r="K83" i="351"/>
  <c r="O83" i="351" s="1"/>
  <c r="U82" i="351"/>
  <c r="T82" i="351"/>
  <c r="S82" i="351"/>
  <c r="Q82" i="351"/>
  <c r="O82" i="351"/>
  <c r="K82" i="351"/>
  <c r="N81" i="351" s="1"/>
  <c r="O81" i="351" s="1"/>
  <c r="AA81" i="351"/>
  <c r="AA86" i="351" s="1"/>
  <c r="AB86" i="351" s="1"/>
  <c r="AC86" i="351" s="1"/>
  <c r="AD86" i="351" s="1"/>
  <c r="AD87" i="351" s="1"/>
  <c r="AD88" i="351" s="1"/>
  <c r="Z81" i="351"/>
  <c r="U81" i="351"/>
  <c r="T81" i="351"/>
  <c r="S81" i="351"/>
  <c r="V81" i="351" s="1"/>
  <c r="Q81" i="351"/>
  <c r="K81" i="351"/>
  <c r="AI80" i="351"/>
  <c r="U80" i="351"/>
  <c r="T80" i="351"/>
  <c r="S80" i="351"/>
  <c r="V80" i="351" s="1"/>
  <c r="Q80" i="351"/>
  <c r="K80" i="351"/>
  <c r="AI79" i="351"/>
  <c r="V79" i="351"/>
  <c r="U79" i="351"/>
  <c r="T79" i="351"/>
  <c r="S79" i="351"/>
  <c r="Q79" i="351"/>
  <c r="K79" i="351"/>
  <c r="AI78" i="351"/>
  <c r="AC78" i="351"/>
  <c r="U78" i="351"/>
  <c r="T78" i="351"/>
  <c r="S78" i="351"/>
  <c r="Q78" i="351"/>
  <c r="K78" i="351"/>
  <c r="V77" i="351"/>
  <c r="U77" i="351"/>
  <c r="T77" i="351"/>
  <c r="S77" i="351"/>
  <c r="Q77" i="351"/>
  <c r="K77" i="351"/>
  <c r="U76" i="351"/>
  <c r="T76" i="351"/>
  <c r="S76" i="351"/>
  <c r="Q76" i="351"/>
  <c r="K76" i="351"/>
  <c r="V75" i="351"/>
  <c r="U75" i="351"/>
  <c r="T75" i="351"/>
  <c r="S75" i="351"/>
  <c r="Q75" i="351"/>
  <c r="K75" i="351"/>
  <c r="U74" i="351"/>
  <c r="T74" i="351"/>
  <c r="S74" i="351"/>
  <c r="V74" i="351" s="1"/>
  <c r="Q74" i="351"/>
  <c r="K74" i="351"/>
  <c r="AD73" i="351"/>
  <c r="Z73" i="351"/>
  <c r="U73" i="351"/>
  <c r="T73" i="351"/>
  <c r="V73" i="351" s="1"/>
  <c r="S73" i="351"/>
  <c r="Q73" i="351"/>
  <c r="K73" i="351"/>
  <c r="V72" i="351"/>
  <c r="U72" i="351"/>
  <c r="T72" i="351"/>
  <c r="S72" i="351"/>
  <c r="Q72" i="351"/>
  <c r="K72" i="351"/>
  <c r="U71" i="351"/>
  <c r="T71" i="351"/>
  <c r="S71" i="351"/>
  <c r="V71" i="351" s="1"/>
  <c r="Q71" i="351"/>
  <c r="K71" i="351"/>
  <c r="V70" i="351"/>
  <c r="U70" i="351"/>
  <c r="T70" i="351"/>
  <c r="S70" i="351"/>
  <c r="Q70" i="351"/>
  <c r="K70" i="351"/>
  <c r="U69" i="351"/>
  <c r="T69" i="351"/>
  <c r="V69" i="351" s="1"/>
  <c r="S69" i="351"/>
  <c r="Q69" i="351"/>
  <c r="K69" i="351"/>
  <c r="V68" i="351"/>
  <c r="U68" i="351"/>
  <c r="T68" i="351"/>
  <c r="S68" i="351"/>
  <c r="Q68" i="351"/>
  <c r="K68" i="351"/>
  <c r="AA67" i="351"/>
  <c r="V67" i="351"/>
  <c r="U67" i="351"/>
  <c r="T67" i="351"/>
  <c r="S67" i="351"/>
  <c r="Q67" i="351"/>
  <c r="K67" i="351"/>
  <c r="U66" i="351"/>
  <c r="T66" i="351"/>
  <c r="S66" i="351"/>
  <c r="V66" i="351" s="1"/>
  <c r="Q66" i="351"/>
  <c r="K66" i="351"/>
  <c r="V65" i="351"/>
  <c r="U65" i="351"/>
  <c r="T65" i="351"/>
  <c r="S65" i="351"/>
  <c r="Q65" i="351"/>
  <c r="K65" i="351"/>
  <c r="U64" i="351"/>
  <c r="T64" i="351"/>
  <c r="S64" i="351"/>
  <c r="V64" i="351" s="1"/>
  <c r="Q64" i="351"/>
  <c r="K64" i="351"/>
  <c r="V63" i="351"/>
  <c r="U63" i="351"/>
  <c r="T63" i="351"/>
  <c r="S63" i="351"/>
  <c r="Q63" i="351"/>
  <c r="K63" i="351"/>
  <c r="AC62" i="351"/>
  <c r="V62" i="351"/>
  <c r="U62" i="351"/>
  <c r="T62" i="351"/>
  <c r="S62" i="351"/>
  <c r="Q62" i="351"/>
  <c r="K62" i="351"/>
  <c r="AB61" i="351"/>
  <c r="U61" i="351"/>
  <c r="T61" i="351"/>
  <c r="V61" i="351" s="1"/>
  <c r="S61" i="351"/>
  <c r="Q61" i="351"/>
  <c r="K61" i="351"/>
  <c r="V60" i="351"/>
  <c r="U60" i="351"/>
  <c r="T60" i="351"/>
  <c r="S60" i="351"/>
  <c r="Q60" i="351"/>
  <c r="K60" i="351"/>
  <c r="AB59" i="351"/>
  <c r="AA59" i="351"/>
  <c r="AC79" i="351" s="1"/>
  <c r="U59" i="351"/>
  <c r="T59" i="351"/>
  <c r="S59" i="351"/>
  <c r="V59" i="351" s="1"/>
  <c r="Q59" i="351"/>
  <c r="K59" i="351"/>
  <c r="AM58" i="351"/>
  <c r="AB58" i="351"/>
  <c r="AB62" i="351" s="1"/>
  <c r="AA58" i="351"/>
  <c r="U58" i="351"/>
  <c r="T58" i="351"/>
  <c r="V58" i="351" s="1"/>
  <c r="S58" i="351"/>
  <c r="Q58" i="351"/>
  <c r="K58" i="351"/>
  <c r="U57" i="351"/>
  <c r="T57" i="351"/>
  <c r="S57" i="351"/>
  <c r="Q57" i="351"/>
  <c r="K57" i="351"/>
  <c r="U56" i="351"/>
  <c r="T56" i="351"/>
  <c r="S56" i="351"/>
  <c r="Q56" i="351"/>
  <c r="K56" i="351"/>
  <c r="U55" i="351"/>
  <c r="T55" i="351"/>
  <c r="S55" i="351"/>
  <c r="Q55" i="351"/>
  <c r="K55" i="351"/>
  <c r="U54" i="351"/>
  <c r="T54" i="351"/>
  <c r="S54" i="351"/>
  <c r="Q54" i="351"/>
  <c r="K54" i="351"/>
  <c r="Y53" i="351"/>
  <c r="U53" i="351"/>
  <c r="T53" i="351"/>
  <c r="Q53" i="351"/>
  <c r="S53" i="351" s="1"/>
  <c r="K53" i="351"/>
  <c r="R54" i="351" s="1"/>
  <c r="U52" i="351"/>
  <c r="T52" i="351"/>
  <c r="S52" i="351"/>
  <c r="Q52" i="351"/>
  <c r="K52" i="351"/>
  <c r="Y51" i="351"/>
  <c r="V51" i="351"/>
  <c r="U51" i="351"/>
  <c r="T51" i="351"/>
  <c r="S51" i="351"/>
  <c r="Q51" i="351"/>
  <c r="K51" i="351"/>
  <c r="AB50" i="351"/>
  <c r="U50" i="351"/>
  <c r="T50" i="351"/>
  <c r="S50" i="351"/>
  <c r="Q50" i="351"/>
  <c r="K50" i="351"/>
  <c r="Y49" i="351"/>
  <c r="Z49" i="351" s="1"/>
  <c r="V49" i="351"/>
  <c r="U49" i="351"/>
  <c r="T49" i="351"/>
  <c r="S49" i="351"/>
  <c r="Q49" i="351"/>
  <c r="K49" i="351"/>
  <c r="Y48" i="351"/>
  <c r="Z48" i="351" s="1"/>
  <c r="U48" i="351"/>
  <c r="T48" i="351"/>
  <c r="V48" i="351" s="1"/>
  <c r="S48" i="351"/>
  <c r="Q48" i="351"/>
  <c r="K48" i="351"/>
  <c r="V47" i="351"/>
  <c r="U47" i="351"/>
  <c r="T47" i="351"/>
  <c r="S47" i="351"/>
  <c r="Q47" i="351"/>
  <c r="K47" i="351"/>
  <c r="U46" i="351"/>
  <c r="T46" i="351"/>
  <c r="Q46" i="351"/>
  <c r="S46" i="351" s="1"/>
  <c r="K46" i="351"/>
  <c r="AB45" i="351"/>
  <c r="AA45" i="351"/>
  <c r="AC45" i="351" s="1"/>
  <c r="U45" i="351"/>
  <c r="T45" i="351"/>
  <c r="S45" i="351"/>
  <c r="Q45" i="351"/>
  <c r="K45" i="351"/>
  <c r="AB44" i="351"/>
  <c r="AA44" i="351"/>
  <c r="U44" i="351"/>
  <c r="T44" i="351"/>
  <c r="S44" i="351"/>
  <c r="V44" i="351" s="1"/>
  <c r="Q44" i="351"/>
  <c r="K44" i="351"/>
  <c r="AB43" i="351"/>
  <c r="AA43" i="351"/>
  <c r="AC43" i="351" s="1"/>
  <c r="U43" i="351"/>
  <c r="T43" i="351"/>
  <c r="S43" i="351"/>
  <c r="Q43" i="351"/>
  <c r="K43" i="351"/>
  <c r="U42" i="351"/>
  <c r="T42" i="351"/>
  <c r="Q42" i="351"/>
  <c r="S42" i="351" s="1"/>
  <c r="K42" i="351"/>
  <c r="U41" i="351"/>
  <c r="T41" i="351"/>
  <c r="S41" i="351"/>
  <c r="Q41" i="351"/>
  <c r="K41" i="351"/>
  <c r="U40" i="351"/>
  <c r="T40" i="351"/>
  <c r="S40" i="351"/>
  <c r="V40" i="351" s="1"/>
  <c r="K40" i="351"/>
  <c r="U39" i="351"/>
  <c r="T39" i="351"/>
  <c r="S39" i="351"/>
  <c r="Q39" i="351"/>
  <c r="K39" i="351"/>
  <c r="U38" i="351"/>
  <c r="T38" i="351"/>
  <c r="Q38" i="351"/>
  <c r="S38" i="351" s="1"/>
  <c r="V38" i="351" s="1"/>
  <c r="K38" i="351"/>
  <c r="U37" i="351"/>
  <c r="T37" i="351"/>
  <c r="S37" i="351"/>
  <c r="Q37" i="351"/>
  <c r="K37" i="351"/>
  <c r="Z36" i="351"/>
  <c r="U36" i="351"/>
  <c r="T36" i="351"/>
  <c r="S36" i="351"/>
  <c r="Q36" i="351"/>
  <c r="K36" i="351"/>
  <c r="AD35" i="351"/>
  <c r="Z35" i="351"/>
  <c r="Z37" i="351" s="1"/>
  <c r="U35" i="351"/>
  <c r="T35" i="351"/>
  <c r="S35" i="351"/>
  <c r="Q35" i="351"/>
  <c r="K35" i="351"/>
  <c r="AD34" i="351"/>
  <c r="AD36" i="351" s="1"/>
  <c r="AC34" i="351"/>
  <c r="AE34" i="351" s="1"/>
  <c r="U34" i="351"/>
  <c r="T34" i="351"/>
  <c r="S34" i="351"/>
  <c r="Q34" i="351"/>
  <c r="K34" i="351"/>
  <c r="U33" i="351"/>
  <c r="T33" i="351"/>
  <c r="V33" i="351" s="1"/>
  <c r="S33" i="351"/>
  <c r="Q33" i="351"/>
  <c r="K33" i="351"/>
  <c r="U32" i="351"/>
  <c r="T32" i="351"/>
  <c r="S32" i="351"/>
  <c r="Q32" i="351"/>
  <c r="K32" i="351"/>
  <c r="U31" i="351"/>
  <c r="T31" i="351"/>
  <c r="V31" i="351" s="1"/>
  <c r="S31" i="351"/>
  <c r="Q31" i="351"/>
  <c r="K31" i="351"/>
  <c r="Z30" i="351"/>
  <c r="U30" i="351"/>
  <c r="T30" i="351"/>
  <c r="S30" i="351"/>
  <c r="Q30" i="351"/>
  <c r="K30" i="351"/>
  <c r="U29" i="351"/>
  <c r="T29" i="351"/>
  <c r="S29" i="351"/>
  <c r="V29" i="351" s="1"/>
  <c r="Q29" i="351"/>
  <c r="K29" i="351"/>
  <c r="U28" i="351"/>
  <c r="T28" i="351"/>
  <c r="S28" i="351"/>
  <c r="Q28" i="351"/>
  <c r="K28" i="351"/>
  <c r="U27" i="351"/>
  <c r="T27" i="351"/>
  <c r="S27" i="351"/>
  <c r="Q27" i="351"/>
  <c r="K27" i="351"/>
  <c r="T26" i="351"/>
  <c r="V26" i="351" s="1"/>
  <c r="S26" i="351"/>
  <c r="Q26" i="351"/>
  <c r="U26" i="351" s="1"/>
  <c r="K26" i="351"/>
  <c r="U25" i="351"/>
  <c r="T25" i="351"/>
  <c r="V25" i="351" s="1"/>
  <c r="Q25" i="351"/>
  <c r="S25" i="351" s="1"/>
  <c r="K25" i="351"/>
  <c r="U24" i="351"/>
  <c r="T24" i="351"/>
  <c r="S24" i="351"/>
  <c r="V24" i="351" s="1"/>
  <c r="Q24" i="351"/>
  <c r="K24" i="351"/>
  <c r="V23" i="351"/>
  <c r="U23" i="351"/>
  <c r="T23" i="351"/>
  <c r="S23" i="351"/>
  <c r="Q23" i="351"/>
  <c r="K23" i="351"/>
  <c r="U22" i="351"/>
  <c r="T22" i="351"/>
  <c r="S22" i="351"/>
  <c r="Q22" i="351"/>
  <c r="K22" i="351"/>
  <c r="U21" i="351"/>
  <c r="T21" i="351"/>
  <c r="V21" i="351" s="1"/>
  <c r="S21" i="351"/>
  <c r="Q21" i="351"/>
  <c r="K21" i="351"/>
  <c r="U20" i="351"/>
  <c r="T20" i="351"/>
  <c r="Q20" i="351"/>
  <c r="S20" i="351" s="1"/>
  <c r="V20" i="351" s="1"/>
  <c r="K20" i="351"/>
  <c r="U19" i="351"/>
  <c r="T19" i="351"/>
  <c r="Q19" i="351"/>
  <c r="S19" i="351" s="1"/>
  <c r="V19" i="351" s="1"/>
  <c r="K19" i="351"/>
  <c r="U18" i="351"/>
  <c r="T18" i="351"/>
  <c r="S18" i="351"/>
  <c r="Q18" i="351"/>
  <c r="K18" i="351"/>
  <c r="U17" i="351"/>
  <c r="S17" i="351"/>
  <c r="Q17" i="351"/>
  <c r="T17" i="351" s="1"/>
  <c r="V17" i="351" s="1"/>
  <c r="K17" i="351"/>
  <c r="V16" i="351"/>
  <c r="U16" i="351"/>
  <c r="T16" i="351"/>
  <c r="S16" i="351"/>
  <c r="K16" i="351"/>
  <c r="Z15" i="351"/>
  <c r="U15" i="351"/>
  <c r="T15" i="351"/>
  <c r="S15" i="351"/>
  <c r="Q15" i="351"/>
  <c r="K15" i="351"/>
  <c r="U14" i="351"/>
  <c r="T14" i="351"/>
  <c r="V14" i="351" s="1"/>
  <c r="S14" i="351"/>
  <c r="Q14" i="351"/>
  <c r="K14" i="351"/>
  <c r="U13" i="351"/>
  <c r="T13" i="351"/>
  <c r="S13" i="351"/>
  <c r="V13" i="351" s="1"/>
  <c r="Q13" i="351"/>
  <c r="K13" i="351"/>
  <c r="AC12" i="351"/>
  <c r="AB12" i="351"/>
  <c r="AA12" i="351"/>
  <c r="U12" i="351"/>
  <c r="T12" i="351"/>
  <c r="Q12" i="351"/>
  <c r="S12" i="351" s="1"/>
  <c r="K12" i="351"/>
  <c r="AA11" i="351"/>
  <c r="U11" i="351"/>
  <c r="T11" i="351"/>
  <c r="S11" i="351"/>
  <c r="V11" i="351" s="1"/>
  <c r="Q11" i="351"/>
  <c r="K11" i="351"/>
  <c r="AB10" i="351"/>
  <c r="U10" i="351"/>
  <c r="T10" i="351"/>
  <c r="Q10" i="351"/>
  <c r="S10" i="351" s="1"/>
  <c r="K10" i="351"/>
  <c r="AA9" i="351"/>
  <c r="U9" i="351"/>
  <c r="T9" i="351"/>
  <c r="S9" i="351"/>
  <c r="V9" i="351" s="1"/>
  <c r="Q9" i="351"/>
  <c r="K9" i="351"/>
  <c r="V8" i="351"/>
  <c r="U8" i="351"/>
  <c r="T8" i="351"/>
  <c r="Q8" i="351"/>
  <c r="S8" i="351" s="1"/>
  <c r="K8" i="351"/>
  <c r="Z7" i="351"/>
  <c r="U7" i="351"/>
  <c r="Q7" i="351"/>
  <c r="S7" i="351" s="1"/>
  <c r="I7" i="351"/>
  <c r="AB42" i="351" s="1"/>
  <c r="H7" i="351"/>
  <c r="Z6" i="351"/>
  <c r="U6" i="351"/>
  <c r="T6" i="351"/>
  <c r="Q6" i="351"/>
  <c r="S6" i="351" s="1"/>
  <c r="V6" i="351" s="1"/>
  <c r="K6" i="351"/>
  <c r="U5" i="351"/>
  <c r="S5" i="351"/>
  <c r="Q5" i="351"/>
  <c r="T5" i="351" s="1"/>
  <c r="V5" i="351" s="1"/>
  <c r="K5" i="351"/>
  <c r="U4" i="351"/>
  <c r="T4" i="351"/>
  <c r="V4" i="351" s="1"/>
  <c r="S4" i="351"/>
  <c r="Q4" i="351"/>
  <c r="K4" i="351"/>
  <c r="AE3" i="351"/>
  <c r="AD3" i="351"/>
  <c r="U3" i="351"/>
  <c r="T3" i="351"/>
  <c r="V3" i="351" s="1"/>
  <c r="S3" i="351"/>
  <c r="Q3" i="351"/>
  <c r="K3" i="351"/>
  <c r="U2" i="351"/>
  <c r="T2" i="351"/>
  <c r="Q2" i="351"/>
  <c r="K2" i="351"/>
  <c r="R26" i="350"/>
  <c r="I7" i="350"/>
  <c r="H7" i="350"/>
  <c r="AA100" i="350"/>
  <c r="U123" i="350"/>
  <c r="I113" i="350"/>
  <c r="P105" i="350"/>
  <c r="M105" i="350"/>
  <c r="J105" i="350"/>
  <c r="I105" i="350"/>
  <c r="U103" i="350"/>
  <c r="T103" i="350"/>
  <c r="S103" i="350"/>
  <c r="Q103" i="350"/>
  <c r="K103" i="350"/>
  <c r="AA102" i="350"/>
  <c r="U102" i="350"/>
  <c r="T102" i="350"/>
  <c r="S102" i="350"/>
  <c r="Q102" i="350"/>
  <c r="K102" i="350"/>
  <c r="U101" i="350"/>
  <c r="T101" i="350"/>
  <c r="S101" i="350"/>
  <c r="Q101" i="350"/>
  <c r="K101" i="350"/>
  <c r="U100" i="350"/>
  <c r="T100" i="350"/>
  <c r="S100" i="350"/>
  <c r="Q100" i="350"/>
  <c r="K100" i="350"/>
  <c r="AA99" i="350"/>
  <c r="U99" i="350"/>
  <c r="T99" i="350"/>
  <c r="S99" i="350"/>
  <c r="Q99" i="350"/>
  <c r="K99" i="350"/>
  <c r="AA98" i="350"/>
  <c r="U98" i="350"/>
  <c r="T98" i="350"/>
  <c r="S98" i="350"/>
  <c r="Q98" i="350"/>
  <c r="K98" i="350"/>
  <c r="U97" i="350"/>
  <c r="T97" i="350"/>
  <c r="S97" i="350"/>
  <c r="Q97" i="350"/>
  <c r="K97" i="350"/>
  <c r="U96" i="350"/>
  <c r="T96" i="350"/>
  <c r="S96" i="350"/>
  <c r="Q96" i="350"/>
  <c r="K96" i="350"/>
  <c r="AA95" i="350"/>
  <c r="U95" i="350"/>
  <c r="T95" i="350"/>
  <c r="S95" i="350"/>
  <c r="Q95" i="350"/>
  <c r="K95" i="350"/>
  <c r="AA94" i="350"/>
  <c r="U94" i="350"/>
  <c r="T94" i="350"/>
  <c r="S94" i="350"/>
  <c r="Q94" i="350"/>
  <c r="K94" i="350"/>
  <c r="AA93" i="350"/>
  <c r="U93" i="350"/>
  <c r="T93" i="350"/>
  <c r="S93" i="350"/>
  <c r="Q93" i="350"/>
  <c r="K93" i="350"/>
  <c r="U92" i="350"/>
  <c r="T92" i="350"/>
  <c r="S92" i="350"/>
  <c r="Q92" i="350"/>
  <c r="K92" i="350"/>
  <c r="U91" i="350"/>
  <c r="T91" i="350"/>
  <c r="S91" i="350"/>
  <c r="Q91" i="350"/>
  <c r="K91" i="350"/>
  <c r="U90" i="350"/>
  <c r="T90" i="350"/>
  <c r="S90" i="350"/>
  <c r="Q90" i="350"/>
  <c r="K90" i="350"/>
  <c r="U89" i="350"/>
  <c r="T89" i="350"/>
  <c r="S89" i="350"/>
  <c r="Q89" i="350"/>
  <c r="K89" i="350"/>
  <c r="U88" i="350"/>
  <c r="T88" i="350"/>
  <c r="S88" i="350"/>
  <c r="Q88" i="350"/>
  <c r="K88" i="350"/>
  <c r="AE87" i="350"/>
  <c r="AF86" i="350" s="1"/>
  <c r="AG86" i="350" s="1"/>
  <c r="AH86" i="350" s="1"/>
  <c r="AH87" i="350" s="1"/>
  <c r="AH88" i="350" s="1"/>
  <c r="AA87" i="350"/>
  <c r="Y87" i="350"/>
  <c r="U87" i="350"/>
  <c r="T87" i="350"/>
  <c r="S87" i="350"/>
  <c r="Q87" i="350"/>
  <c r="K87" i="350"/>
  <c r="U86" i="350"/>
  <c r="T86" i="350"/>
  <c r="S86" i="350"/>
  <c r="Q86" i="350"/>
  <c r="K86" i="350"/>
  <c r="U85" i="350"/>
  <c r="T85" i="350"/>
  <c r="S85" i="350"/>
  <c r="Q85" i="350"/>
  <c r="K85" i="350"/>
  <c r="U84" i="350"/>
  <c r="T84" i="350"/>
  <c r="S84" i="350"/>
  <c r="Q84" i="350"/>
  <c r="K84" i="350"/>
  <c r="U83" i="350"/>
  <c r="T83" i="350"/>
  <c r="S83" i="350"/>
  <c r="Q83" i="350"/>
  <c r="K83" i="350"/>
  <c r="U82" i="350"/>
  <c r="T82" i="350"/>
  <c r="S82" i="350"/>
  <c r="Q82" i="350"/>
  <c r="K82" i="350"/>
  <c r="AA81" i="350"/>
  <c r="AA86" i="350" s="1"/>
  <c r="AB86" i="350" s="1"/>
  <c r="AC86" i="350" s="1"/>
  <c r="AD86" i="350" s="1"/>
  <c r="AD87" i="350" s="1"/>
  <c r="AD88" i="350" s="1"/>
  <c r="Z81" i="350"/>
  <c r="U81" i="350"/>
  <c r="T81" i="350"/>
  <c r="S81" i="350"/>
  <c r="Q81" i="350"/>
  <c r="K81" i="350"/>
  <c r="AI80" i="350"/>
  <c r="U80" i="350"/>
  <c r="T80" i="350"/>
  <c r="S80" i="350"/>
  <c r="Q80" i="350"/>
  <c r="K80" i="350"/>
  <c r="AI79" i="350"/>
  <c r="U79" i="350"/>
  <c r="T79" i="350"/>
  <c r="S79" i="350"/>
  <c r="Q79" i="350"/>
  <c r="K79" i="350"/>
  <c r="AI78" i="350"/>
  <c r="U78" i="350"/>
  <c r="T78" i="350"/>
  <c r="S78" i="350"/>
  <c r="Q78" i="350"/>
  <c r="K78" i="350"/>
  <c r="U77" i="350"/>
  <c r="T77" i="350"/>
  <c r="S77" i="350"/>
  <c r="Q77" i="350"/>
  <c r="K77" i="350"/>
  <c r="U76" i="350"/>
  <c r="T76" i="350"/>
  <c r="S76" i="350"/>
  <c r="Q76" i="350"/>
  <c r="K76" i="350"/>
  <c r="U75" i="350"/>
  <c r="T75" i="350"/>
  <c r="S75" i="350"/>
  <c r="Q75" i="350"/>
  <c r="K75" i="350"/>
  <c r="U74" i="350"/>
  <c r="T74" i="350"/>
  <c r="S74" i="350"/>
  <c r="Q74" i="350"/>
  <c r="K74" i="350"/>
  <c r="AD73" i="350"/>
  <c r="Z73" i="350"/>
  <c r="U73" i="350"/>
  <c r="T73" i="350"/>
  <c r="S73" i="350"/>
  <c r="Q73" i="350"/>
  <c r="K73" i="350"/>
  <c r="U72" i="350"/>
  <c r="T72" i="350"/>
  <c r="S72" i="350"/>
  <c r="Q72" i="350"/>
  <c r="K72" i="350"/>
  <c r="U71" i="350"/>
  <c r="T71" i="350"/>
  <c r="S71" i="350"/>
  <c r="Q71" i="350"/>
  <c r="K71" i="350"/>
  <c r="U70" i="350"/>
  <c r="T70" i="350"/>
  <c r="S70" i="350"/>
  <c r="Q70" i="350"/>
  <c r="K70" i="350"/>
  <c r="U69" i="350"/>
  <c r="T69" i="350"/>
  <c r="S69" i="350"/>
  <c r="Q69" i="350"/>
  <c r="K69" i="350"/>
  <c r="U68" i="350"/>
  <c r="T68" i="350"/>
  <c r="S68" i="350"/>
  <c r="Q68" i="350"/>
  <c r="K68" i="350"/>
  <c r="AA67" i="350"/>
  <c r="U67" i="350"/>
  <c r="T67" i="350"/>
  <c r="S67" i="350"/>
  <c r="Q67" i="350"/>
  <c r="K67" i="350"/>
  <c r="U66" i="350"/>
  <c r="T66" i="350"/>
  <c r="S66" i="350"/>
  <c r="Q66" i="350"/>
  <c r="K66" i="350"/>
  <c r="U65" i="350"/>
  <c r="T65" i="350"/>
  <c r="S65" i="350"/>
  <c r="Q65" i="350"/>
  <c r="K65" i="350"/>
  <c r="U64" i="350"/>
  <c r="T64" i="350"/>
  <c r="S64" i="350"/>
  <c r="Q64" i="350"/>
  <c r="K64" i="350"/>
  <c r="U63" i="350"/>
  <c r="T63" i="350"/>
  <c r="S63" i="350"/>
  <c r="Q63" i="350"/>
  <c r="K63" i="350"/>
  <c r="AC62" i="350"/>
  <c r="U62" i="350"/>
  <c r="T62" i="350"/>
  <c r="S62" i="350"/>
  <c r="Q62" i="350"/>
  <c r="K62" i="350"/>
  <c r="U61" i="350"/>
  <c r="T61" i="350"/>
  <c r="S61" i="350"/>
  <c r="Q61" i="350"/>
  <c r="K61" i="350"/>
  <c r="U60" i="350"/>
  <c r="T60" i="350"/>
  <c r="S60" i="350"/>
  <c r="Q60" i="350"/>
  <c r="K60" i="350"/>
  <c r="AB59" i="350"/>
  <c r="AA59" i="350"/>
  <c r="AC79" i="350" s="1"/>
  <c r="U59" i="350"/>
  <c r="T59" i="350"/>
  <c r="S59" i="350"/>
  <c r="Q59" i="350"/>
  <c r="K59" i="350"/>
  <c r="AM58" i="350"/>
  <c r="AB58" i="350"/>
  <c r="AB62" i="350" s="1"/>
  <c r="AA58" i="350"/>
  <c r="AC78" i="350" s="1"/>
  <c r="U58" i="350"/>
  <c r="T58" i="350"/>
  <c r="S58" i="350"/>
  <c r="Q58" i="350"/>
  <c r="K58" i="350"/>
  <c r="U57" i="350"/>
  <c r="T57" i="350"/>
  <c r="S57" i="350"/>
  <c r="Q57" i="350"/>
  <c r="K57" i="350"/>
  <c r="U56" i="350"/>
  <c r="T56" i="350"/>
  <c r="S56" i="350"/>
  <c r="Q56" i="350"/>
  <c r="K56" i="350"/>
  <c r="U55" i="350"/>
  <c r="T55" i="350"/>
  <c r="Q55" i="350"/>
  <c r="K55" i="350"/>
  <c r="U54" i="350"/>
  <c r="T54" i="350"/>
  <c r="S54" i="350"/>
  <c r="Q54" i="350"/>
  <c r="K54" i="350"/>
  <c r="Y53" i="350"/>
  <c r="U53" i="350"/>
  <c r="T53" i="350"/>
  <c r="Q53" i="350"/>
  <c r="S53" i="350" s="1"/>
  <c r="K53" i="350"/>
  <c r="U52" i="350"/>
  <c r="T52" i="350"/>
  <c r="S52" i="350"/>
  <c r="Q52" i="350"/>
  <c r="K52" i="350"/>
  <c r="Y51" i="350"/>
  <c r="U51" i="350"/>
  <c r="T51" i="350"/>
  <c r="S51" i="350"/>
  <c r="Q51" i="350"/>
  <c r="K51" i="350"/>
  <c r="AB50" i="350"/>
  <c r="U50" i="350"/>
  <c r="T50" i="350"/>
  <c r="S50" i="350"/>
  <c r="Q50" i="350"/>
  <c r="K50" i="350"/>
  <c r="Y49" i="350"/>
  <c r="Z49" i="350" s="1"/>
  <c r="U49" i="350"/>
  <c r="T49" i="350"/>
  <c r="S49" i="350"/>
  <c r="Q49" i="350"/>
  <c r="K49" i="350"/>
  <c r="Y48" i="350"/>
  <c r="Z48" i="350" s="1"/>
  <c r="U48" i="350"/>
  <c r="T48" i="350"/>
  <c r="S48" i="350"/>
  <c r="Q48" i="350"/>
  <c r="K48" i="350"/>
  <c r="U47" i="350"/>
  <c r="T47" i="350"/>
  <c r="S47" i="350"/>
  <c r="Q47" i="350"/>
  <c r="K47" i="350"/>
  <c r="U46" i="350"/>
  <c r="T46" i="350"/>
  <c r="Q46" i="350"/>
  <c r="S46" i="350" s="1"/>
  <c r="K46" i="350"/>
  <c r="AB45" i="350"/>
  <c r="AA45" i="350"/>
  <c r="U45" i="350"/>
  <c r="T45" i="350"/>
  <c r="S45" i="350"/>
  <c r="Q45" i="350"/>
  <c r="K45" i="350"/>
  <c r="AB44" i="350"/>
  <c r="AA44" i="350"/>
  <c r="U44" i="350"/>
  <c r="T44" i="350"/>
  <c r="S44" i="350"/>
  <c r="Q44" i="350"/>
  <c r="K44" i="350"/>
  <c r="AB43" i="350"/>
  <c r="AA43" i="350"/>
  <c r="U43" i="350"/>
  <c r="T43" i="350"/>
  <c r="S43" i="350"/>
  <c r="Q43" i="350"/>
  <c r="K43" i="350"/>
  <c r="AB42" i="350"/>
  <c r="U42" i="350"/>
  <c r="T42" i="350"/>
  <c r="Q42" i="350"/>
  <c r="S42" i="350" s="1"/>
  <c r="K42" i="350"/>
  <c r="U41" i="350"/>
  <c r="T41" i="350"/>
  <c r="S41" i="350"/>
  <c r="Q41" i="350"/>
  <c r="K41" i="350"/>
  <c r="U40" i="350"/>
  <c r="T40" i="350"/>
  <c r="S40" i="350"/>
  <c r="K40" i="350"/>
  <c r="U39" i="350"/>
  <c r="T39" i="350"/>
  <c r="S39" i="350"/>
  <c r="Q39" i="350"/>
  <c r="K39" i="350"/>
  <c r="U38" i="350"/>
  <c r="Q38" i="350"/>
  <c r="T38" i="350" s="1"/>
  <c r="K38" i="350"/>
  <c r="U37" i="350"/>
  <c r="T37" i="350"/>
  <c r="S37" i="350"/>
  <c r="Q37" i="350"/>
  <c r="K37" i="350"/>
  <c r="Z36" i="350"/>
  <c r="U36" i="350"/>
  <c r="T36" i="350"/>
  <c r="S36" i="350"/>
  <c r="Q36" i="350"/>
  <c r="K36" i="350"/>
  <c r="Z35" i="350"/>
  <c r="U35" i="350"/>
  <c r="T35" i="350"/>
  <c r="S35" i="350"/>
  <c r="Q35" i="350"/>
  <c r="K35" i="350"/>
  <c r="AC34" i="350"/>
  <c r="AD34" i="350" s="1"/>
  <c r="U34" i="350"/>
  <c r="T34" i="350"/>
  <c r="S34" i="350"/>
  <c r="Q34" i="350"/>
  <c r="K34" i="350"/>
  <c r="U33" i="350"/>
  <c r="T33" i="350"/>
  <c r="S33" i="350"/>
  <c r="Q33" i="350"/>
  <c r="K33" i="350"/>
  <c r="U32" i="350"/>
  <c r="T32" i="350"/>
  <c r="S32" i="350"/>
  <c r="Q32" i="350"/>
  <c r="K32" i="350"/>
  <c r="U31" i="350"/>
  <c r="T31" i="350"/>
  <c r="S31" i="350"/>
  <c r="Q31" i="350"/>
  <c r="K31" i="350"/>
  <c r="Z30" i="350"/>
  <c r="Z10" i="350" s="1"/>
  <c r="Z14" i="350" s="1"/>
  <c r="U30" i="350"/>
  <c r="T30" i="350"/>
  <c r="S30" i="350"/>
  <c r="Q30" i="350"/>
  <c r="K30" i="350"/>
  <c r="U29" i="350"/>
  <c r="T29" i="350"/>
  <c r="S29" i="350"/>
  <c r="Q29" i="350"/>
  <c r="K29" i="350"/>
  <c r="U28" i="350"/>
  <c r="T28" i="350"/>
  <c r="S28" i="350"/>
  <c r="Q28" i="350"/>
  <c r="K28" i="350"/>
  <c r="U27" i="350"/>
  <c r="T27" i="350"/>
  <c r="S27" i="350"/>
  <c r="Q27" i="350"/>
  <c r="K27" i="350"/>
  <c r="T26" i="350"/>
  <c r="S26" i="350"/>
  <c r="Q26" i="350"/>
  <c r="U26" i="350" s="1"/>
  <c r="K26" i="350"/>
  <c r="U25" i="350"/>
  <c r="T25" i="350"/>
  <c r="Q25" i="350"/>
  <c r="S25" i="350" s="1"/>
  <c r="K25" i="350"/>
  <c r="U24" i="350"/>
  <c r="T24" i="350"/>
  <c r="S24" i="350"/>
  <c r="Q24" i="350"/>
  <c r="K24" i="350"/>
  <c r="U23" i="350"/>
  <c r="T23" i="350"/>
  <c r="S23" i="350"/>
  <c r="Q23" i="350"/>
  <c r="K23" i="350"/>
  <c r="U22" i="350"/>
  <c r="T22" i="350"/>
  <c r="Q22" i="350"/>
  <c r="S22" i="350" s="1"/>
  <c r="K22" i="350"/>
  <c r="U21" i="350"/>
  <c r="T21" i="350"/>
  <c r="S21" i="350"/>
  <c r="Q21" i="350"/>
  <c r="K21" i="350"/>
  <c r="U20" i="350"/>
  <c r="T20" i="350"/>
  <c r="Q20" i="350"/>
  <c r="S20" i="350" s="1"/>
  <c r="K20" i="350"/>
  <c r="U19" i="350"/>
  <c r="T19" i="350"/>
  <c r="Q19" i="350"/>
  <c r="S19" i="350" s="1"/>
  <c r="K19" i="350"/>
  <c r="U18" i="350"/>
  <c r="S18" i="350"/>
  <c r="Q18" i="350"/>
  <c r="T18" i="350" s="1"/>
  <c r="AB94" i="350" s="1"/>
  <c r="K18" i="350"/>
  <c r="U17" i="350"/>
  <c r="S17" i="350"/>
  <c r="Q17" i="350"/>
  <c r="T17" i="350" s="1"/>
  <c r="K17" i="350"/>
  <c r="U16" i="350"/>
  <c r="T16" i="350"/>
  <c r="S16" i="350"/>
  <c r="K16" i="350"/>
  <c r="Z15" i="350"/>
  <c r="U15" i="350"/>
  <c r="T15" i="350"/>
  <c r="Q15" i="350"/>
  <c r="S15" i="350" s="1"/>
  <c r="K15" i="350"/>
  <c r="U14" i="350"/>
  <c r="T14" i="350"/>
  <c r="Q14" i="350"/>
  <c r="S14" i="350" s="1"/>
  <c r="K14" i="350"/>
  <c r="U13" i="350"/>
  <c r="T13" i="350"/>
  <c r="Q13" i="350"/>
  <c r="S13" i="350" s="1"/>
  <c r="K13" i="350"/>
  <c r="AC12" i="350"/>
  <c r="AB12" i="350"/>
  <c r="AA12" i="350"/>
  <c r="U12" i="350"/>
  <c r="T12" i="350"/>
  <c r="Q12" i="350"/>
  <c r="S12" i="350" s="1"/>
  <c r="K12" i="350"/>
  <c r="AA11" i="350"/>
  <c r="U11" i="350"/>
  <c r="T11" i="350"/>
  <c r="Q11" i="350"/>
  <c r="S11" i="350" s="1"/>
  <c r="K11" i="350"/>
  <c r="AB10" i="350"/>
  <c r="U10" i="350"/>
  <c r="Q10" i="350"/>
  <c r="T10" i="350" s="1"/>
  <c r="K10" i="350"/>
  <c r="AA9" i="350"/>
  <c r="U9" i="350"/>
  <c r="Q9" i="350"/>
  <c r="S9" i="350" s="1"/>
  <c r="K9" i="350"/>
  <c r="Z8" i="350"/>
  <c r="U8" i="350"/>
  <c r="T8" i="350"/>
  <c r="Q8" i="350"/>
  <c r="S8" i="350" s="1"/>
  <c r="K8" i="350"/>
  <c r="Z7" i="350"/>
  <c r="U7" i="350"/>
  <c r="Q7" i="350"/>
  <c r="S7" i="350" s="1"/>
  <c r="K7" i="350"/>
  <c r="AA92" i="350"/>
  <c r="Z6" i="350"/>
  <c r="U6" i="350"/>
  <c r="T6" i="350"/>
  <c r="Q6" i="350"/>
  <c r="S6" i="350" s="1"/>
  <c r="K6" i="350"/>
  <c r="U5" i="350"/>
  <c r="S5" i="350"/>
  <c r="Q5" i="350"/>
  <c r="T5" i="350" s="1"/>
  <c r="K5" i="350"/>
  <c r="U4" i="350"/>
  <c r="S4" i="350"/>
  <c r="Q4" i="350"/>
  <c r="T4" i="350" s="1"/>
  <c r="K4" i="350"/>
  <c r="U3" i="350"/>
  <c r="S3" i="350"/>
  <c r="Q3" i="350"/>
  <c r="T3" i="350" s="1"/>
  <c r="K3" i="350"/>
  <c r="U2" i="350"/>
  <c r="T2" i="350"/>
  <c r="Q2" i="350"/>
  <c r="K2" i="350"/>
  <c r="W14" i="361" l="1"/>
  <c r="X13" i="361"/>
  <c r="W13" i="360"/>
  <c r="X12" i="360"/>
  <c r="X13" i="359"/>
  <c r="W14" i="359"/>
  <c r="W12" i="358"/>
  <c r="X11" i="358"/>
  <c r="X8" i="357"/>
  <c r="W9" i="357"/>
  <c r="X7" i="356"/>
  <c r="W8" i="356"/>
  <c r="W7" i="355"/>
  <c r="X6" i="355"/>
  <c r="AB81" i="353"/>
  <c r="AD78" i="353"/>
  <c r="W6" i="353"/>
  <c r="AE78" i="353"/>
  <c r="AD62" i="353"/>
  <c r="AD61" i="353"/>
  <c r="L4" i="353"/>
  <c r="X3" i="353"/>
  <c r="AG4" i="352"/>
  <c r="AG5" i="352" s="1"/>
  <c r="AE4" i="352"/>
  <c r="AF4" i="352" s="1"/>
  <c r="AF5" i="352" s="1"/>
  <c r="AB5" i="352"/>
  <c r="AA37" i="352"/>
  <c r="AB37" i="352" s="1"/>
  <c r="AB35" i="352"/>
  <c r="Z5" i="352"/>
  <c r="V105" i="352"/>
  <c r="W2" i="352"/>
  <c r="Z53" i="352"/>
  <c r="AB80" i="352"/>
  <c r="AD80" i="352" s="1"/>
  <c r="AK77" i="352" s="1"/>
  <c r="AL77" i="352" s="1"/>
  <c r="AD60" i="352"/>
  <c r="AE80" i="352" s="1"/>
  <c r="AB78" i="352"/>
  <c r="AD58" i="352"/>
  <c r="Z59" i="352"/>
  <c r="Z61" i="352" s="1"/>
  <c r="AB17" i="352" s="1"/>
  <c r="AC5" i="352"/>
  <c r="S38" i="350"/>
  <c r="V102" i="350"/>
  <c r="V103" i="350"/>
  <c r="V23" i="350"/>
  <c r="V65" i="350"/>
  <c r="V16" i="350"/>
  <c r="AC43" i="350"/>
  <c r="AC44" i="350"/>
  <c r="V67" i="350"/>
  <c r="V54" i="351"/>
  <c r="V36" i="351"/>
  <c r="V41" i="351"/>
  <c r="V42" i="351"/>
  <c r="V39" i="351"/>
  <c r="V46" i="351"/>
  <c r="V43" i="351"/>
  <c r="V55" i="351"/>
  <c r="V34" i="351"/>
  <c r="V30" i="351"/>
  <c r="V32" i="351"/>
  <c r="V45" i="351"/>
  <c r="V53" i="351"/>
  <c r="AB95" i="351"/>
  <c r="V15" i="351"/>
  <c r="AD37" i="351"/>
  <c r="Q105" i="351"/>
  <c r="S2" i="351"/>
  <c r="V12" i="351"/>
  <c r="R50" i="351"/>
  <c r="N50" i="351"/>
  <c r="AA92" i="351"/>
  <c r="I105" i="351"/>
  <c r="T7" i="351"/>
  <c r="V7" i="351" s="1"/>
  <c r="K7" i="351"/>
  <c r="K105" i="351" s="1"/>
  <c r="K108" i="351" s="1"/>
  <c r="K110" i="351" s="1"/>
  <c r="Z10" i="351"/>
  <c r="V10" i="351"/>
  <c r="Z16" i="351"/>
  <c r="AA16" i="351" s="1"/>
  <c r="AA15" i="351"/>
  <c r="AB94" i="351"/>
  <c r="V18" i="351"/>
  <c r="O102" i="351"/>
  <c r="O100" i="351"/>
  <c r="O94" i="351"/>
  <c r="O98" i="351"/>
  <c r="O96" i="351"/>
  <c r="O103" i="351"/>
  <c r="O99" i="351"/>
  <c r="O97" i="351"/>
  <c r="O95" i="351"/>
  <c r="O101" i="351"/>
  <c r="AB98" i="351"/>
  <c r="O78" i="351"/>
  <c r="V101" i="351"/>
  <c r="T105" i="351"/>
  <c r="AB4" i="351" s="1"/>
  <c r="AB92" i="351"/>
  <c r="AB93" i="351"/>
  <c r="AB102" i="351"/>
  <c r="V28" i="351"/>
  <c r="V52" i="351"/>
  <c r="V57" i="351"/>
  <c r="O85" i="351"/>
  <c r="N85" i="351"/>
  <c r="O90" i="351"/>
  <c r="U105" i="351"/>
  <c r="AD4" i="351" s="1"/>
  <c r="AD5" i="351" s="1"/>
  <c r="AA60" i="351"/>
  <c r="AA62" i="351" s="1"/>
  <c r="AA36" i="351"/>
  <c r="AB36" i="351" s="1"/>
  <c r="H105" i="351"/>
  <c r="AA97" i="351"/>
  <c r="AA42" i="351"/>
  <c r="AC42" i="351" s="1"/>
  <c r="AC61" i="351"/>
  <c r="AA68" i="351" s="1"/>
  <c r="AC58" i="351"/>
  <c r="V22" i="351"/>
  <c r="N27" i="351"/>
  <c r="O49" i="351" s="1"/>
  <c r="V27" i="351"/>
  <c r="V35" i="351"/>
  <c r="V37" i="351"/>
  <c r="AC44" i="351"/>
  <c r="V50" i="351"/>
  <c r="Y55" i="351"/>
  <c r="O59" i="351"/>
  <c r="V82" i="351"/>
  <c r="V84" i="351"/>
  <c r="X84" i="351" s="1"/>
  <c r="V86" i="351"/>
  <c r="V87" i="351"/>
  <c r="AC35" i="351"/>
  <c r="AC36" i="351"/>
  <c r="AE36" i="351" s="1"/>
  <c r="O54" i="351"/>
  <c r="V99" i="351"/>
  <c r="V103" i="351"/>
  <c r="AB100" i="351"/>
  <c r="R52" i="351"/>
  <c r="V56" i="351"/>
  <c r="N56" i="351"/>
  <c r="O76" i="351" s="1"/>
  <c r="O62" i="351"/>
  <c r="V76" i="351"/>
  <c r="V78" i="351"/>
  <c r="V90" i="351"/>
  <c r="O91" i="351"/>
  <c r="AA61" i="351"/>
  <c r="V68" i="350"/>
  <c r="V85" i="350"/>
  <c r="N94" i="350"/>
  <c r="O100" i="350" s="1"/>
  <c r="V100" i="350"/>
  <c r="V58" i="350"/>
  <c r="V51" i="350"/>
  <c r="V96" i="350"/>
  <c r="V98" i="350"/>
  <c r="V62" i="350"/>
  <c r="V63" i="350"/>
  <c r="V69" i="350"/>
  <c r="V28" i="350"/>
  <c r="N27" i="350"/>
  <c r="O34" i="350" s="1"/>
  <c r="V32" i="350"/>
  <c r="V43" i="350"/>
  <c r="V70" i="350"/>
  <c r="V79" i="350"/>
  <c r="V93" i="350"/>
  <c r="Z16" i="350"/>
  <c r="AA16" i="350" s="1"/>
  <c r="AC45" i="350"/>
  <c r="V48" i="350"/>
  <c r="AB61" i="350"/>
  <c r="V83" i="350"/>
  <c r="V91" i="350"/>
  <c r="V94" i="350"/>
  <c r="V24" i="350"/>
  <c r="S55" i="350"/>
  <c r="V61" i="350"/>
  <c r="V72" i="350"/>
  <c r="V6" i="350"/>
  <c r="V73" i="350"/>
  <c r="V75" i="350"/>
  <c r="V88" i="350"/>
  <c r="V95" i="350"/>
  <c r="V97" i="350"/>
  <c r="V99" i="350"/>
  <c r="Z37" i="350"/>
  <c r="V44" i="350"/>
  <c r="V45" i="350"/>
  <c r="V64" i="350"/>
  <c r="V71" i="350"/>
  <c r="V82" i="350"/>
  <c r="V92" i="350"/>
  <c r="V11" i="350"/>
  <c r="R52" i="350"/>
  <c r="V59" i="350"/>
  <c r="V60" i="350"/>
  <c r="V74" i="350"/>
  <c r="V77" i="350"/>
  <c r="V81" i="350"/>
  <c r="V86" i="350"/>
  <c r="V89" i="350"/>
  <c r="V19" i="350"/>
  <c r="S10" i="350"/>
  <c r="V10" i="350" s="1"/>
  <c r="V13" i="350"/>
  <c r="V17" i="350"/>
  <c r="V25" i="350"/>
  <c r="V27" i="350"/>
  <c r="V14" i="350"/>
  <c r="V22" i="350"/>
  <c r="V26" i="350"/>
  <c r="V15" i="350"/>
  <c r="V36" i="350"/>
  <c r="V39" i="350"/>
  <c r="V42" i="350"/>
  <c r="V38" i="350"/>
  <c r="V30" i="350"/>
  <c r="V34" i="350"/>
  <c r="V35" i="350"/>
  <c r="V41" i="350"/>
  <c r="V37" i="350"/>
  <c r="V53" i="350"/>
  <c r="V49" i="350"/>
  <c r="Q105" i="350"/>
  <c r="V50" i="350"/>
  <c r="AA60" i="350"/>
  <c r="AA62" i="350" s="1"/>
  <c r="AA36" i="350"/>
  <c r="AB36" i="350" s="1"/>
  <c r="Z18" i="350"/>
  <c r="Z24" i="350" s="1"/>
  <c r="Z13" i="350"/>
  <c r="AA4" i="350"/>
  <c r="AA3" i="350"/>
  <c r="V33" i="350"/>
  <c r="O102" i="350"/>
  <c r="S2" i="350"/>
  <c r="AE3" i="350"/>
  <c r="V3" i="350"/>
  <c r="H105" i="350"/>
  <c r="AA97" i="350"/>
  <c r="AA42" i="350"/>
  <c r="AC42" i="350" s="1"/>
  <c r="V8" i="350"/>
  <c r="Z72" i="350"/>
  <c r="Y55" i="350"/>
  <c r="T9" i="350"/>
  <c r="V9" i="350" s="1"/>
  <c r="AK79" i="350"/>
  <c r="AA10" i="350"/>
  <c r="V20" i="350"/>
  <c r="O43" i="350"/>
  <c r="K105" i="350"/>
  <c r="K108" i="350" s="1"/>
  <c r="K110" i="350" s="1"/>
  <c r="N2" i="350"/>
  <c r="O19" i="350" s="1"/>
  <c r="U105" i="350"/>
  <c r="AD4" i="350" s="1"/>
  <c r="AD6" i="350" s="1"/>
  <c r="V4" i="350"/>
  <c r="V5" i="350"/>
  <c r="AC61" i="350"/>
  <c r="AA68" i="350" s="1"/>
  <c r="AC58" i="350"/>
  <c r="V12" i="350"/>
  <c r="AA15" i="350"/>
  <c r="AD36" i="350"/>
  <c r="AD35" i="350"/>
  <c r="AE34" i="350"/>
  <c r="V46" i="350"/>
  <c r="R50" i="350"/>
  <c r="N50" i="350"/>
  <c r="AB98" i="350"/>
  <c r="V31" i="350"/>
  <c r="AB95" i="350"/>
  <c r="V40" i="350"/>
  <c r="T7" i="350"/>
  <c r="V18" i="350"/>
  <c r="AB99" i="350"/>
  <c r="V21" i="350"/>
  <c r="V29" i="350"/>
  <c r="V47" i="350"/>
  <c r="N81" i="350"/>
  <c r="O83" i="350" s="1"/>
  <c r="AB102" i="350"/>
  <c r="AC35" i="350"/>
  <c r="AC36" i="350"/>
  <c r="V57" i="350"/>
  <c r="V66" i="350"/>
  <c r="V80" i="350"/>
  <c r="V84" i="350"/>
  <c r="X84" i="350" s="1"/>
  <c r="V87" i="350"/>
  <c r="V101" i="350"/>
  <c r="AB93" i="350"/>
  <c r="V52" i="350"/>
  <c r="V54" i="350"/>
  <c r="V56" i="350"/>
  <c r="N56" i="350"/>
  <c r="O59" i="350" s="1"/>
  <c r="V76" i="350"/>
  <c r="V78" i="350"/>
  <c r="N85" i="350"/>
  <c r="O92" i="350" s="1"/>
  <c r="V90" i="350"/>
  <c r="R54" i="350"/>
  <c r="W15" i="361" l="1"/>
  <c r="X14" i="361"/>
  <c r="W14" i="360"/>
  <c r="X13" i="360"/>
  <c r="W15" i="359"/>
  <c r="X14" i="359"/>
  <c r="X12" i="358"/>
  <c r="W13" i="358"/>
  <c r="X9" i="357"/>
  <c r="W10" i="357"/>
  <c r="X8" i="356"/>
  <c r="W9" i="356"/>
  <c r="X7" i="355"/>
  <c r="W8" i="355"/>
  <c r="AF78" i="353"/>
  <c r="AF81" i="353" s="1"/>
  <c r="AE81" i="353"/>
  <c r="L5" i="353"/>
  <c r="X4" i="353"/>
  <c r="W7" i="353"/>
  <c r="AK75" i="353"/>
  <c r="AD81" i="353"/>
  <c r="AE5" i="352"/>
  <c r="AD59" i="352"/>
  <c r="AE79" i="352" s="1"/>
  <c r="AB79" i="352"/>
  <c r="AD79" i="352" s="1"/>
  <c r="AK76" i="352" s="1"/>
  <c r="AL76" i="352" s="1"/>
  <c r="AD78" i="352"/>
  <c r="AE78" i="352"/>
  <c r="Z62" i="352"/>
  <c r="AF80" i="352"/>
  <c r="W3" i="352"/>
  <c r="X2" i="352"/>
  <c r="O95" i="350"/>
  <c r="O30" i="350"/>
  <c r="O99" i="350"/>
  <c r="O96" i="350"/>
  <c r="O94" i="350"/>
  <c r="O54" i="350"/>
  <c r="O41" i="350"/>
  <c r="O33" i="350"/>
  <c r="O50" i="350"/>
  <c r="O38" i="350"/>
  <c r="O46" i="350"/>
  <c r="O37" i="350"/>
  <c r="O44" i="350"/>
  <c r="O42" i="350"/>
  <c r="O49" i="350"/>
  <c r="O55" i="350"/>
  <c r="O97" i="350"/>
  <c r="O98" i="350"/>
  <c r="O53" i="350"/>
  <c r="O82" i="350"/>
  <c r="O36" i="350"/>
  <c r="O39" i="350"/>
  <c r="O47" i="350"/>
  <c r="O101" i="350"/>
  <c r="O103" i="350"/>
  <c r="O62" i="350"/>
  <c r="O93" i="350"/>
  <c r="O32" i="350"/>
  <c r="O31" i="350"/>
  <c r="O37" i="351"/>
  <c r="O46" i="351"/>
  <c r="AA34" i="351"/>
  <c r="AB34" i="351" s="1"/>
  <c r="O75" i="351"/>
  <c r="O56" i="351"/>
  <c r="O47" i="351"/>
  <c r="O44" i="351"/>
  <c r="O41" i="351"/>
  <c r="O33" i="351"/>
  <c r="O31" i="351"/>
  <c r="O55" i="351"/>
  <c r="O45" i="351"/>
  <c r="O43" i="351"/>
  <c r="O39" i="351"/>
  <c r="O30" i="351"/>
  <c r="O89" i="351"/>
  <c r="O88" i="351"/>
  <c r="O87" i="351"/>
  <c r="O86" i="351"/>
  <c r="Z58" i="351"/>
  <c r="AB5" i="351"/>
  <c r="O42" i="351"/>
  <c r="O38" i="351"/>
  <c r="R105" i="351"/>
  <c r="O79" i="351"/>
  <c r="O77" i="351"/>
  <c r="O72" i="351"/>
  <c r="O69" i="351"/>
  <c r="O67" i="351"/>
  <c r="O63" i="351"/>
  <c r="O61" i="351"/>
  <c r="O60" i="351"/>
  <c r="O58" i="351"/>
  <c r="O80" i="351"/>
  <c r="O66" i="351"/>
  <c r="O64" i="351"/>
  <c r="O74" i="351"/>
  <c r="O71" i="351"/>
  <c r="O57" i="351"/>
  <c r="AE35" i="351"/>
  <c r="AE37" i="351" s="1"/>
  <c r="AC37" i="351"/>
  <c r="O70" i="351"/>
  <c r="AB47" i="351"/>
  <c r="AC80" i="351"/>
  <c r="AC81" i="351" s="1"/>
  <c r="O73" i="351"/>
  <c r="O34" i="351"/>
  <c r="AA69" i="351"/>
  <c r="AA10" i="351"/>
  <c r="AK79" i="351"/>
  <c r="Z14" i="351"/>
  <c r="O65" i="351"/>
  <c r="O36" i="351"/>
  <c r="S105" i="351"/>
  <c r="AC4" i="351" s="1"/>
  <c r="AE4" i="351" s="1"/>
  <c r="AB97" i="351"/>
  <c r="V2" i="351"/>
  <c r="V105" i="351" s="1"/>
  <c r="O92" i="351"/>
  <c r="O68" i="351"/>
  <c r="Z60" i="351"/>
  <c r="AA35" i="351"/>
  <c r="O93" i="351"/>
  <c r="O53" i="351"/>
  <c r="O32" i="351"/>
  <c r="O50" i="351"/>
  <c r="O35" i="351"/>
  <c r="N2" i="351"/>
  <c r="O7" i="351" s="1"/>
  <c r="AB100" i="350"/>
  <c r="V55" i="350"/>
  <c r="O22" i="350"/>
  <c r="O88" i="350"/>
  <c r="O91" i="350"/>
  <c r="AE36" i="350"/>
  <c r="O9" i="350"/>
  <c r="O75" i="350"/>
  <c r="O65" i="350"/>
  <c r="O35" i="350"/>
  <c r="O56" i="350"/>
  <c r="O45" i="350"/>
  <c r="O74" i="350"/>
  <c r="AD37" i="350"/>
  <c r="R105" i="350"/>
  <c r="O28" i="350"/>
  <c r="O25" i="350"/>
  <c r="O13" i="350"/>
  <c r="O71" i="350"/>
  <c r="O14" i="350"/>
  <c r="AB92" i="350"/>
  <c r="O12" i="350"/>
  <c r="T105" i="350"/>
  <c r="AB4" i="350" s="1"/>
  <c r="Z58" i="350" s="1"/>
  <c r="V7" i="350"/>
  <c r="O2" i="350"/>
  <c r="Z3" i="350"/>
  <c r="Z4" i="350"/>
  <c r="AB47" i="350"/>
  <c r="AC80" i="350"/>
  <c r="AC81" i="350" s="1"/>
  <c r="N105" i="350"/>
  <c r="O27" i="350"/>
  <c r="O15" i="350"/>
  <c r="O6" i="350"/>
  <c r="O16" i="350"/>
  <c r="O4" i="350"/>
  <c r="O8" i="350"/>
  <c r="O29" i="350"/>
  <c r="O24" i="350"/>
  <c r="O20" i="350"/>
  <c r="O10" i="350"/>
  <c r="O3" i="350"/>
  <c r="S105" i="350"/>
  <c r="AC4" i="350" s="1"/>
  <c r="AB97" i="350"/>
  <c r="V2" i="350"/>
  <c r="AG3" i="350"/>
  <c r="AA5" i="350"/>
  <c r="AF3" i="350"/>
  <c r="O11" i="350"/>
  <c r="O7" i="350"/>
  <c r="AC37" i="350"/>
  <c r="AE35" i="350"/>
  <c r="O81" i="350"/>
  <c r="O84" i="350"/>
  <c r="AA69" i="350"/>
  <c r="Z60" i="350"/>
  <c r="AA35" i="350"/>
  <c r="AA61" i="350"/>
  <c r="O89" i="350"/>
  <c r="O87" i="350"/>
  <c r="O90" i="350"/>
  <c r="O79" i="350"/>
  <c r="O77" i="350"/>
  <c r="O72" i="350"/>
  <c r="O69" i="350"/>
  <c r="O67" i="350"/>
  <c r="O63" i="350"/>
  <c r="O61" i="350"/>
  <c r="O60" i="350"/>
  <c r="O58" i="350"/>
  <c r="O80" i="350"/>
  <c r="O57" i="350"/>
  <c r="O66" i="350"/>
  <c r="O70" i="350"/>
  <c r="O73" i="350"/>
  <c r="O85" i="350"/>
  <c r="O68" i="350"/>
  <c r="O86" i="350"/>
  <c r="O64" i="350"/>
  <c r="O17" i="350"/>
  <c r="O76" i="350"/>
  <c r="O78" i="350"/>
  <c r="L2" i="350"/>
  <c r="L3" i="350" s="1"/>
  <c r="L4" i="350" s="1"/>
  <c r="L5" i="350" s="1"/>
  <c r="L6" i="350" s="1"/>
  <c r="L7" i="350" s="1"/>
  <c r="L8" i="350" s="1"/>
  <c r="L9" i="350" s="1"/>
  <c r="L10" i="350" s="1"/>
  <c r="L11" i="350" s="1"/>
  <c r="L12" i="350" s="1"/>
  <c r="L13" i="350" s="1"/>
  <c r="L14" i="350" s="1"/>
  <c r="L15" i="350" s="1"/>
  <c r="L16" i="350" s="1"/>
  <c r="L17" i="350" s="1"/>
  <c r="L18" i="350" s="1"/>
  <c r="L19" i="350" s="1"/>
  <c r="L20" i="350" s="1"/>
  <c r="L21" i="350" s="1"/>
  <c r="L22" i="350" s="1"/>
  <c r="L23" i="350" s="1"/>
  <c r="L24" i="350" s="1"/>
  <c r="L25" i="350" s="1"/>
  <c r="L26" i="350" s="1"/>
  <c r="L27" i="350" s="1"/>
  <c r="L28" i="350" s="1"/>
  <c r="L29" i="350" s="1"/>
  <c r="L30" i="350" s="1"/>
  <c r="L31" i="350" s="1"/>
  <c r="L32" i="350" s="1"/>
  <c r="L33" i="350" s="1"/>
  <c r="L34" i="350" s="1"/>
  <c r="L35" i="350" s="1"/>
  <c r="L36" i="350" s="1"/>
  <c r="L37" i="350" s="1"/>
  <c r="L38" i="350" s="1"/>
  <c r="L39" i="350" s="1"/>
  <c r="L40" i="350" s="1"/>
  <c r="L41" i="350" s="1"/>
  <c r="L42" i="350" s="1"/>
  <c r="L43" i="350" s="1"/>
  <c r="L44" i="350" s="1"/>
  <c r="L45" i="350" s="1"/>
  <c r="L46" i="350" s="1"/>
  <c r="L47" i="350" s="1"/>
  <c r="L48" i="350" s="1"/>
  <c r="L49" i="350" s="1"/>
  <c r="L50" i="350" s="1"/>
  <c r="L51" i="350" s="1"/>
  <c r="L52" i="350" s="1"/>
  <c r="L53" i="350" s="1"/>
  <c r="L54" i="350" s="1"/>
  <c r="L55" i="350" s="1"/>
  <c r="L56" i="350" s="1"/>
  <c r="L57" i="350" s="1"/>
  <c r="L58" i="350" s="1"/>
  <c r="L59" i="350" s="1"/>
  <c r="L60" i="350" s="1"/>
  <c r="L61" i="350" s="1"/>
  <c r="L62" i="350" s="1"/>
  <c r="L63" i="350" s="1"/>
  <c r="L64" i="350" s="1"/>
  <c r="L65" i="350" s="1"/>
  <c r="L66" i="350" s="1"/>
  <c r="L67" i="350" s="1"/>
  <c r="L68" i="350" s="1"/>
  <c r="L69" i="350" s="1"/>
  <c r="L70" i="350" s="1"/>
  <c r="L71" i="350" s="1"/>
  <c r="L72" i="350" s="1"/>
  <c r="L73" i="350" s="1"/>
  <c r="L74" i="350" s="1"/>
  <c r="L75" i="350" s="1"/>
  <c r="L76" i="350" s="1"/>
  <c r="L77" i="350" s="1"/>
  <c r="L78" i="350" s="1"/>
  <c r="L79" i="350" s="1"/>
  <c r="L80" i="350" s="1"/>
  <c r="L81" i="350" s="1"/>
  <c r="L82" i="350" s="1"/>
  <c r="L83" i="350" s="1"/>
  <c r="L84" i="350" s="1"/>
  <c r="L85" i="350" s="1"/>
  <c r="L86" i="350" s="1"/>
  <c r="L87" i="350" s="1"/>
  <c r="L88" i="350" s="1"/>
  <c r="L89" i="350" s="1"/>
  <c r="L90" i="350" s="1"/>
  <c r="L91" i="350" s="1"/>
  <c r="L92" i="350" s="1"/>
  <c r="L93" i="350" s="1"/>
  <c r="L94" i="350" s="1"/>
  <c r="L95" i="350" s="1"/>
  <c r="L96" i="350" s="1"/>
  <c r="L97" i="350" s="1"/>
  <c r="L98" i="350" s="1"/>
  <c r="L99" i="350" s="1"/>
  <c r="L100" i="350" s="1"/>
  <c r="L101" i="350" s="1"/>
  <c r="L102" i="350" s="1"/>
  <c r="L103" i="350" s="1"/>
  <c r="L105" i="350" s="1"/>
  <c r="AD5" i="350"/>
  <c r="O26" i="350"/>
  <c r="O5" i="350"/>
  <c r="X15" i="361" l="1"/>
  <c r="W16" i="361"/>
  <c r="X14" i="360"/>
  <c r="W15" i="360"/>
  <c r="W16" i="359"/>
  <c r="X15" i="359"/>
  <c r="W14" i="358"/>
  <c r="X13" i="358"/>
  <c r="W11" i="357"/>
  <c r="X10" i="357"/>
  <c r="W10" i="356"/>
  <c r="X9" i="356"/>
  <c r="X8" i="355"/>
  <c r="W9" i="355"/>
  <c r="AL75" i="353"/>
  <c r="AL78" i="353" s="1"/>
  <c r="AK78" i="353"/>
  <c r="AL79" i="353" s="1"/>
  <c r="L6" i="353"/>
  <c r="X5" i="353"/>
  <c r="W8" i="353"/>
  <c r="AD62" i="352"/>
  <c r="AB81" i="352"/>
  <c r="AF79" i="352"/>
  <c r="AD81" i="352"/>
  <c r="AK75" i="352"/>
  <c r="AD61" i="352"/>
  <c r="W4" i="352"/>
  <c r="X3" i="352"/>
  <c r="AF78" i="352"/>
  <c r="AE81" i="352"/>
  <c r="AB80" i="351"/>
  <c r="AD80" i="351" s="1"/>
  <c r="AK77" i="351" s="1"/>
  <c r="AL77" i="351" s="1"/>
  <c r="AD60" i="351"/>
  <c r="AE80" i="351" s="1"/>
  <c r="AF80" i="351" s="1"/>
  <c r="Z53" i="351"/>
  <c r="AB78" i="351"/>
  <c r="AD58" i="351"/>
  <c r="AA37" i="351"/>
  <c r="AB37" i="351" s="1"/>
  <c r="AB35" i="351"/>
  <c r="N105" i="351"/>
  <c r="O26" i="351"/>
  <c r="O20" i="351"/>
  <c r="O24" i="351"/>
  <c r="O27" i="351"/>
  <c r="O14" i="351"/>
  <c r="O12" i="351"/>
  <c r="O10" i="351"/>
  <c r="O6" i="351"/>
  <c r="O4" i="351"/>
  <c r="O3" i="351"/>
  <c r="O28" i="351"/>
  <c r="O15" i="351"/>
  <c r="O16" i="351"/>
  <c r="O13" i="351"/>
  <c r="O17" i="351"/>
  <c r="O8" i="351"/>
  <c r="O2" i="351"/>
  <c r="O11" i="351"/>
  <c r="O19" i="351"/>
  <c r="O22" i="351"/>
  <c r="O5" i="351"/>
  <c r="O25" i="351"/>
  <c r="O9" i="351"/>
  <c r="O29" i="351"/>
  <c r="Z59" i="351"/>
  <c r="Z62" i="351" s="1"/>
  <c r="AC5" i="351"/>
  <c r="AE5" i="351" s="1"/>
  <c r="Z18" i="351"/>
  <c r="Z24" i="351" s="1"/>
  <c r="W2" i="351" s="1"/>
  <c r="Z13" i="351"/>
  <c r="AA4" i="351"/>
  <c r="AA3" i="351"/>
  <c r="AB5" i="350"/>
  <c r="AE37" i="350"/>
  <c r="V105" i="350"/>
  <c r="W2" i="350"/>
  <c r="X2" i="350" s="1"/>
  <c r="AA34" i="350"/>
  <c r="AB34" i="350" s="1"/>
  <c r="Z59" i="350"/>
  <c r="Z62" i="350" s="1"/>
  <c r="AC5" i="350"/>
  <c r="Z5" i="350"/>
  <c r="AG4" i="350"/>
  <c r="AG5" i="350" s="1"/>
  <c r="AA37" i="350"/>
  <c r="AB37" i="350" s="1"/>
  <c r="AB35" i="350"/>
  <c r="AE4" i="350"/>
  <c r="AF4" i="350" s="1"/>
  <c r="AF5" i="350" s="1"/>
  <c r="AB80" i="350"/>
  <c r="AD80" i="350" s="1"/>
  <c r="AK77" i="350" s="1"/>
  <c r="AL77" i="350" s="1"/>
  <c r="Z53" i="350"/>
  <c r="AD60" i="350"/>
  <c r="AE80" i="350" s="1"/>
  <c r="AB78" i="350"/>
  <c r="AD58" i="350"/>
  <c r="X16" i="361" l="1"/>
  <c r="W17" i="361"/>
  <c r="X15" i="360"/>
  <c r="W16" i="360"/>
  <c r="W17" i="359"/>
  <c r="X16" i="359"/>
  <c r="W15" i="358"/>
  <c r="X14" i="358"/>
  <c r="X11" i="357"/>
  <c r="W12" i="357"/>
  <c r="W11" i="356"/>
  <c r="X10" i="356"/>
  <c r="W10" i="355"/>
  <c r="X9" i="355"/>
  <c r="L7" i="353"/>
  <c r="X6" i="353"/>
  <c r="W9" i="353"/>
  <c r="AF81" i="352"/>
  <c r="X4" i="352"/>
  <c r="W5" i="352"/>
  <c r="AL75" i="352"/>
  <c r="AL78" i="352" s="1"/>
  <c r="AK78" i="352"/>
  <c r="AL79" i="352" s="1"/>
  <c r="Z4" i="351"/>
  <c r="Z3" i="351"/>
  <c r="Z5" i="351" s="1"/>
  <c r="AG3" i="351"/>
  <c r="AF3" i="351"/>
  <c r="AA5" i="351"/>
  <c r="AD78" i="351"/>
  <c r="AF4" i="351"/>
  <c r="L2" i="351"/>
  <c r="L3" i="351" s="1"/>
  <c r="L4" i="351" s="1"/>
  <c r="L5" i="351" s="1"/>
  <c r="L6" i="351" s="1"/>
  <c r="L7" i="351" s="1"/>
  <c r="L8" i="351" s="1"/>
  <c r="L9" i="351" s="1"/>
  <c r="L10" i="351" s="1"/>
  <c r="L11" i="351" s="1"/>
  <c r="L12" i="351" s="1"/>
  <c r="L13" i="351" s="1"/>
  <c r="L14" i="351" s="1"/>
  <c r="L15" i="351" s="1"/>
  <c r="L16" i="351" s="1"/>
  <c r="L17" i="351" s="1"/>
  <c r="L18" i="351" s="1"/>
  <c r="L19" i="351" s="1"/>
  <c r="L20" i="351" s="1"/>
  <c r="L21" i="351" s="1"/>
  <c r="L22" i="351" s="1"/>
  <c r="L23" i="351" s="1"/>
  <c r="L24" i="351" s="1"/>
  <c r="L25" i="351" s="1"/>
  <c r="L26" i="351" s="1"/>
  <c r="L27" i="351" s="1"/>
  <c r="L28" i="351" s="1"/>
  <c r="L29" i="351" s="1"/>
  <c r="L30" i="351" s="1"/>
  <c r="L31" i="351" s="1"/>
  <c r="L32" i="351" s="1"/>
  <c r="L33" i="351" s="1"/>
  <c r="L34" i="351" s="1"/>
  <c r="L35" i="351" s="1"/>
  <c r="L36" i="351" s="1"/>
  <c r="L37" i="351" s="1"/>
  <c r="L38" i="351" s="1"/>
  <c r="L39" i="351" s="1"/>
  <c r="L40" i="351" s="1"/>
  <c r="L41" i="351" s="1"/>
  <c r="L42" i="351" s="1"/>
  <c r="L43" i="351" s="1"/>
  <c r="L44" i="351" s="1"/>
  <c r="L45" i="351" s="1"/>
  <c r="L46" i="351" s="1"/>
  <c r="L47" i="351" s="1"/>
  <c r="L48" i="351" s="1"/>
  <c r="L49" i="351" s="1"/>
  <c r="L50" i="351" s="1"/>
  <c r="L51" i="351" s="1"/>
  <c r="L52" i="351" s="1"/>
  <c r="L53" i="351" s="1"/>
  <c r="L54" i="351" s="1"/>
  <c r="L55" i="351" s="1"/>
  <c r="L56" i="351" s="1"/>
  <c r="L57" i="351" s="1"/>
  <c r="L58" i="351" s="1"/>
  <c r="L59" i="351" s="1"/>
  <c r="L60" i="351" s="1"/>
  <c r="L61" i="351" s="1"/>
  <c r="L62" i="351" s="1"/>
  <c r="L63" i="351" s="1"/>
  <c r="L64" i="351" s="1"/>
  <c r="L65" i="351" s="1"/>
  <c r="L66" i="351" s="1"/>
  <c r="L67" i="351" s="1"/>
  <c r="L68" i="351" s="1"/>
  <c r="L69" i="351" s="1"/>
  <c r="L70" i="351" s="1"/>
  <c r="L71" i="351" s="1"/>
  <c r="L72" i="351" s="1"/>
  <c r="L73" i="351" s="1"/>
  <c r="L74" i="351" s="1"/>
  <c r="L75" i="351" s="1"/>
  <c r="L76" i="351" s="1"/>
  <c r="L77" i="351" s="1"/>
  <c r="L78" i="351" s="1"/>
  <c r="L79" i="351" s="1"/>
  <c r="L80" i="351" s="1"/>
  <c r="L81" i="351" s="1"/>
  <c r="L82" i="351" s="1"/>
  <c r="L83" i="351" s="1"/>
  <c r="L84" i="351" s="1"/>
  <c r="L85" i="351" s="1"/>
  <c r="L86" i="351" s="1"/>
  <c r="L87" i="351" s="1"/>
  <c r="L88" i="351" s="1"/>
  <c r="L89" i="351" s="1"/>
  <c r="L90" i="351" s="1"/>
  <c r="L91" i="351" s="1"/>
  <c r="L92" i="351" s="1"/>
  <c r="L93" i="351" s="1"/>
  <c r="L94" i="351" s="1"/>
  <c r="L95" i="351" s="1"/>
  <c r="L96" i="351" s="1"/>
  <c r="L97" i="351" s="1"/>
  <c r="L98" i="351" s="1"/>
  <c r="L99" i="351" s="1"/>
  <c r="L100" i="351" s="1"/>
  <c r="L101" i="351" s="1"/>
  <c r="L102" i="351" s="1"/>
  <c r="L103" i="351" s="1"/>
  <c r="L105" i="351" s="1"/>
  <c r="AG4" i="351"/>
  <c r="AD59" i="351"/>
  <c r="AE79" i="351" s="1"/>
  <c r="AB79" i="351"/>
  <c r="AD79" i="351" s="1"/>
  <c r="AK76" i="351" s="1"/>
  <c r="AL76" i="351" s="1"/>
  <c r="Z61" i="351"/>
  <c r="AB17" i="351" s="1"/>
  <c r="AE78" i="351"/>
  <c r="W3" i="351"/>
  <c r="X2" i="351"/>
  <c r="AE5" i="350"/>
  <c r="W3" i="350"/>
  <c r="X3" i="350" s="1"/>
  <c r="Z61" i="350"/>
  <c r="AB17" i="350" s="1"/>
  <c r="AF80" i="350"/>
  <c r="AE78" i="350"/>
  <c r="AD59" i="350"/>
  <c r="AE79" i="350" s="1"/>
  <c r="AB79" i="350"/>
  <c r="AD79" i="350" s="1"/>
  <c r="AK76" i="350" s="1"/>
  <c r="AL76" i="350" s="1"/>
  <c r="AD78" i="350"/>
  <c r="X17" i="361" l="1"/>
  <c r="W18" i="361"/>
  <c r="W19" i="361" s="1"/>
  <c r="W17" i="360"/>
  <c r="X16" i="360"/>
  <c r="W18" i="359"/>
  <c r="W19" i="359" s="1"/>
  <c r="X17" i="359"/>
  <c r="X15" i="358"/>
  <c r="W16" i="358"/>
  <c r="W13" i="357"/>
  <c r="X12" i="357"/>
  <c r="W12" i="356"/>
  <c r="X11" i="356"/>
  <c r="X10" i="355"/>
  <c r="W11" i="355"/>
  <c r="W10" i="353"/>
  <c r="L8" i="353"/>
  <c r="X7" i="353"/>
  <c r="X5" i="352"/>
  <c r="W6" i="352"/>
  <c r="AD61" i="351"/>
  <c r="W4" i="351"/>
  <c r="X3" i="351"/>
  <c r="AF78" i="351"/>
  <c r="AE81" i="351"/>
  <c r="AF5" i="351"/>
  <c r="AF79" i="351"/>
  <c r="AD81" i="351"/>
  <c r="AK75" i="351"/>
  <c r="AG5" i="351"/>
  <c r="AD6" i="351"/>
  <c r="AD7" i="351" s="1"/>
  <c r="AD62" i="351"/>
  <c r="AB81" i="351"/>
  <c r="W4" i="350"/>
  <c r="X4" i="350" s="1"/>
  <c r="AD62" i="350"/>
  <c r="AD61" i="350"/>
  <c r="AB81" i="350"/>
  <c r="AD81" i="350"/>
  <c r="AK75" i="350"/>
  <c r="AF79" i="350"/>
  <c r="AF78" i="350"/>
  <c r="AE81" i="350"/>
  <c r="X19" i="361" l="1"/>
  <c r="W20" i="361"/>
  <c r="W21" i="361" s="1"/>
  <c r="W22" i="361" s="1"/>
  <c r="W18" i="360"/>
  <c r="W19" i="360" s="1"/>
  <c r="X17" i="360"/>
  <c r="W20" i="359"/>
  <c r="W21" i="359" s="1"/>
  <c r="W22" i="359" s="1"/>
  <c r="X19" i="359"/>
  <c r="W17" i="358"/>
  <c r="X16" i="358"/>
  <c r="X13" i="357"/>
  <c r="W14" i="357"/>
  <c r="X12" i="356"/>
  <c r="W13" i="356"/>
  <c r="W12" i="355"/>
  <c r="X11" i="355"/>
  <c r="W11" i="353"/>
  <c r="L9" i="353"/>
  <c r="X8" i="353"/>
  <c r="X6" i="352"/>
  <c r="W7" i="352"/>
  <c r="W5" i="351"/>
  <c r="X4" i="351"/>
  <c r="AL75" i="351"/>
  <c r="AL78" i="351" s="1"/>
  <c r="AK78" i="351"/>
  <c r="AL79" i="351" s="1"/>
  <c r="AF81" i="351"/>
  <c r="W5" i="350"/>
  <c r="W6" i="350" s="1"/>
  <c r="AF81" i="350"/>
  <c r="AL75" i="350"/>
  <c r="AL78" i="350" s="1"/>
  <c r="AK78" i="350"/>
  <c r="AL79" i="350" s="1"/>
  <c r="W23" i="361" l="1"/>
  <c r="W24" i="361" s="1"/>
  <c r="X22" i="361"/>
  <c r="W20" i="360"/>
  <c r="W21" i="360" s="1"/>
  <c r="W22" i="360" s="1"/>
  <c r="X19" i="360"/>
  <c r="W23" i="359"/>
  <c r="W24" i="359" s="1"/>
  <c r="X22" i="359"/>
  <c r="W18" i="358"/>
  <c r="W19" i="358" s="1"/>
  <c r="X17" i="358"/>
  <c r="X14" i="357"/>
  <c r="W15" i="357"/>
  <c r="W14" i="356"/>
  <c r="X13" i="356"/>
  <c r="X12" i="355"/>
  <c r="W13" i="355"/>
  <c r="W12" i="353"/>
  <c r="L10" i="353"/>
  <c r="X9" i="353"/>
  <c r="X7" i="352"/>
  <c r="W8" i="352"/>
  <c r="X5" i="350"/>
  <c r="W6" i="351"/>
  <c r="X5" i="351"/>
  <c r="X6" i="350"/>
  <c r="W7" i="350"/>
  <c r="X24" i="361" l="1"/>
  <c r="W25" i="361"/>
  <c r="W23" i="360"/>
  <c r="W24" i="360" s="1"/>
  <c r="X22" i="360"/>
  <c r="W25" i="359"/>
  <c r="X24" i="359"/>
  <c r="W20" i="358"/>
  <c r="W21" i="358" s="1"/>
  <c r="W22" i="358" s="1"/>
  <c r="X19" i="358"/>
  <c r="W16" i="357"/>
  <c r="X15" i="357"/>
  <c r="W15" i="356"/>
  <c r="X14" i="356"/>
  <c r="X13" i="355"/>
  <c r="W14" i="355"/>
  <c r="W13" i="353"/>
  <c r="L11" i="353"/>
  <c r="X10" i="353"/>
  <c r="W9" i="352"/>
  <c r="X8" i="352"/>
  <c r="W7" i="351"/>
  <c r="X6" i="351"/>
  <c r="X7" i="350"/>
  <c r="W8" i="350"/>
  <c r="X25" i="361" l="1"/>
  <c r="W26" i="361"/>
  <c r="X24" i="360"/>
  <c r="W25" i="360"/>
  <c r="W26" i="359"/>
  <c r="X25" i="359"/>
  <c r="X22" i="358"/>
  <c r="W23" i="358"/>
  <c r="W24" i="358" s="1"/>
  <c r="X16" i="357"/>
  <c r="W17" i="357"/>
  <c r="X15" i="356"/>
  <c r="W16" i="356"/>
  <c r="W15" i="355"/>
  <c r="X14" i="355"/>
  <c r="W14" i="353"/>
  <c r="L12" i="353"/>
  <c r="X11" i="353"/>
  <c r="W10" i="352"/>
  <c r="X9" i="352"/>
  <c r="X7" i="351"/>
  <c r="W8" i="351"/>
  <c r="X8" i="350"/>
  <c r="W9" i="350"/>
  <c r="X26" i="361" l="1"/>
  <c r="W27" i="361"/>
  <c r="W26" i="360"/>
  <c r="X25" i="360"/>
  <c r="X26" i="359"/>
  <c r="W27" i="359"/>
  <c r="X24" i="358"/>
  <c r="W25" i="358"/>
  <c r="W18" i="357"/>
  <c r="W19" i="357" s="1"/>
  <c r="X17" i="357"/>
  <c r="X16" i="356"/>
  <c r="W17" i="356"/>
  <c r="X15" i="355"/>
  <c r="W16" i="355"/>
  <c r="L13" i="353"/>
  <c r="X12" i="353"/>
  <c r="W15" i="353"/>
  <c r="W11" i="352"/>
  <c r="X10" i="352"/>
  <c r="X8" i="351"/>
  <c r="W9" i="351"/>
  <c r="W10" i="350"/>
  <c r="X9" i="350"/>
  <c r="W28" i="361" l="1"/>
  <c r="X27" i="361"/>
  <c r="X26" i="360"/>
  <c r="W27" i="360"/>
  <c r="W28" i="359"/>
  <c r="X27" i="359"/>
  <c r="W26" i="358"/>
  <c r="X25" i="358"/>
  <c r="W20" i="357"/>
  <c r="W21" i="357" s="1"/>
  <c r="W22" i="357" s="1"/>
  <c r="X19" i="357"/>
  <c r="X17" i="356"/>
  <c r="W18" i="356"/>
  <c r="W19" i="356" s="1"/>
  <c r="X16" i="355"/>
  <c r="W17" i="355"/>
  <c r="L14" i="353"/>
  <c r="X13" i="353"/>
  <c r="W16" i="353"/>
  <c r="W12" i="352"/>
  <c r="X11" i="352"/>
  <c r="W10" i="351"/>
  <c r="X9" i="351"/>
  <c r="W11" i="350"/>
  <c r="X10" i="350"/>
  <c r="X28" i="361" l="1"/>
  <c r="W29" i="361"/>
  <c r="X27" i="360"/>
  <c r="W28" i="360"/>
  <c r="W29" i="359"/>
  <c r="X28" i="359"/>
  <c r="X26" i="358"/>
  <c r="W27" i="358"/>
  <c r="W23" i="357"/>
  <c r="W24" i="357" s="1"/>
  <c r="X22" i="357"/>
  <c r="X19" i="356"/>
  <c r="W20" i="356"/>
  <c r="W21" i="356" s="1"/>
  <c r="W22" i="356" s="1"/>
  <c r="X17" i="355"/>
  <c r="W18" i="355"/>
  <c r="W19" i="355" s="1"/>
  <c r="L15" i="353"/>
  <c r="X14" i="353"/>
  <c r="W17" i="353"/>
  <c r="W13" i="352"/>
  <c r="X12" i="352"/>
  <c r="X10" i="351"/>
  <c r="W11" i="351"/>
  <c r="W12" i="350"/>
  <c r="X11" i="350"/>
  <c r="W30" i="361" l="1"/>
  <c r="X29" i="361"/>
  <c r="W29" i="360"/>
  <c r="X28" i="360"/>
  <c r="W30" i="359"/>
  <c r="X29" i="359"/>
  <c r="W28" i="358"/>
  <c r="X27" i="358"/>
  <c r="X24" i="357"/>
  <c r="W25" i="357"/>
  <c r="W23" i="356"/>
  <c r="W24" i="356" s="1"/>
  <c r="X22" i="356"/>
  <c r="X19" i="355"/>
  <c r="W20" i="355"/>
  <c r="W21" i="355" s="1"/>
  <c r="W22" i="355" s="1"/>
  <c r="L16" i="353"/>
  <c r="X15" i="353"/>
  <c r="W18" i="353"/>
  <c r="W19" i="353" s="1"/>
  <c r="W14" i="352"/>
  <c r="X13" i="352"/>
  <c r="W12" i="351"/>
  <c r="X11" i="351"/>
  <c r="W13" i="350"/>
  <c r="X12" i="350"/>
  <c r="X30" i="361" l="1"/>
  <c r="W31" i="361"/>
  <c r="X29" i="360"/>
  <c r="W30" i="360"/>
  <c r="W31" i="359"/>
  <c r="X30" i="359"/>
  <c r="X28" i="358"/>
  <c r="W29" i="358"/>
  <c r="W26" i="357"/>
  <c r="X25" i="357"/>
  <c r="X24" i="356"/>
  <c r="W25" i="356"/>
  <c r="W23" i="355"/>
  <c r="W24" i="355" s="1"/>
  <c r="X22" i="355"/>
  <c r="L17" i="353"/>
  <c r="X16" i="353"/>
  <c r="W20" i="353"/>
  <c r="W21" i="353" s="1"/>
  <c r="W22" i="353" s="1"/>
  <c r="W15" i="352"/>
  <c r="X14" i="352"/>
  <c r="W13" i="351"/>
  <c r="X12" i="351"/>
  <c r="W14" i="350"/>
  <c r="X13" i="350"/>
  <c r="X31" i="361" l="1"/>
  <c r="W32" i="361"/>
  <c r="W31" i="360"/>
  <c r="X30" i="360"/>
  <c r="X31" i="359"/>
  <c r="W32" i="359"/>
  <c r="W30" i="358"/>
  <c r="X29" i="358"/>
  <c r="X26" i="357"/>
  <c r="W27" i="357"/>
  <c r="X25" i="356"/>
  <c r="W26" i="356"/>
  <c r="W25" i="355"/>
  <c r="X24" i="355"/>
  <c r="L18" i="353"/>
  <c r="L19" i="353" s="1"/>
  <c r="X17" i="353"/>
  <c r="W23" i="353"/>
  <c r="W24" i="353" s="1"/>
  <c r="W16" i="352"/>
  <c r="X15" i="352"/>
  <c r="W14" i="351"/>
  <c r="X13" i="351"/>
  <c r="W15" i="350"/>
  <c r="X14" i="350"/>
  <c r="W33" i="361" l="1"/>
  <c r="X32" i="361"/>
  <c r="W32" i="360"/>
  <c r="X31" i="360"/>
  <c r="W33" i="359"/>
  <c r="X32" i="359"/>
  <c r="W31" i="358"/>
  <c r="X30" i="358"/>
  <c r="X27" i="357"/>
  <c r="W28" i="357"/>
  <c r="W27" i="356"/>
  <c r="X26" i="356"/>
  <c r="X25" i="355"/>
  <c r="W26" i="355"/>
  <c r="L20" i="353"/>
  <c r="L21" i="353" s="1"/>
  <c r="L22" i="353" s="1"/>
  <c r="X19" i="353"/>
  <c r="W25" i="353"/>
  <c r="X16" i="352"/>
  <c r="W17" i="352"/>
  <c r="W15" i="351"/>
  <c r="X14" i="351"/>
  <c r="X15" i="350"/>
  <c r="W16" i="350"/>
  <c r="X33" i="361" l="1"/>
  <c r="W34" i="361"/>
  <c r="W33" i="360"/>
  <c r="X32" i="360"/>
  <c r="X33" i="359"/>
  <c r="W34" i="359"/>
  <c r="X31" i="358"/>
  <c r="W32" i="358"/>
  <c r="X28" i="357"/>
  <c r="W29" i="357"/>
  <c r="W28" i="356"/>
  <c r="X27" i="356"/>
  <c r="W27" i="355"/>
  <c r="X26" i="355"/>
  <c r="L23" i="353"/>
  <c r="L24" i="353" s="1"/>
  <c r="X22" i="353"/>
  <c r="W26" i="353"/>
  <c r="X17" i="352"/>
  <c r="W18" i="352"/>
  <c r="W19" i="352" s="1"/>
  <c r="X15" i="351"/>
  <c r="W16" i="351"/>
  <c r="X16" i="350"/>
  <c r="W17" i="350"/>
  <c r="W35" i="361" l="1"/>
  <c r="X34" i="361"/>
  <c r="W34" i="360"/>
  <c r="X33" i="360"/>
  <c r="W35" i="359"/>
  <c r="X34" i="359"/>
  <c r="W33" i="358"/>
  <c r="X32" i="358"/>
  <c r="X29" i="357"/>
  <c r="W30" i="357"/>
  <c r="X28" i="356"/>
  <c r="W29" i="356"/>
  <c r="W28" i="355"/>
  <c r="X27" i="355"/>
  <c r="L25" i="353"/>
  <c r="X24" i="353"/>
  <c r="W27" i="353"/>
  <c r="X19" i="352"/>
  <c r="W20" i="352"/>
  <c r="W21" i="352" s="1"/>
  <c r="W22" i="352" s="1"/>
  <c r="X16" i="351"/>
  <c r="W17" i="351"/>
  <c r="X17" i="350"/>
  <c r="W18" i="350"/>
  <c r="W19" i="350" s="1"/>
  <c r="W36" i="361" l="1"/>
  <c r="X35" i="361"/>
  <c r="W35" i="360"/>
  <c r="X34" i="360"/>
  <c r="W36" i="359"/>
  <c r="X35" i="359"/>
  <c r="X33" i="358"/>
  <c r="W34" i="358"/>
  <c r="W31" i="357"/>
  <c r="X30" i="357"/>
  <c r="W30" i="356"/>
  <c r="X29" i="356"/>
  <c r="W29" i="355"/>
  <c r="X28" i="355"/>
  <c r="L26" i="353"/>
  <c r="X25" i="353"/>
  <c r="W28" i="353"/>
  <c r="W23" i="352"/>
  <c r="W24" i="352" s="1"/>
  <c r="X22" i="352"/>
  <c r="W18" i="351"/>
  <c r="W19" i="351" s="1"/>
  <c r="X17" i="351"/>
  <c r="X19" i="350"/>
  <c r="W20" i="350"/>
  <c r="W21" i="350" s="1"/>
  <c r="W22" i="350" s="1"/>
  <c r="W37" i="361" l="1"/>
  <c r="X36" i="361"/>
  <c r="X35" i="360"/>
  <c r="W36" i="360"/>
  <c r="W37" i="359"/>
  <c r="X36" i="359"/>
  <c r="W35" i="358"/>
  <c r="X34" i="358"/>
  <c r="W32" i="357"/>
  <c r="X31" i="357"/>
  <c r="X30" i="356"/>
  <c r="W31" i="356"/>
  <c r="W30" i="355"/>
  <c r="X29" i="355"/>
  <c r="L27" i="353"/>
  <c r="X26" i="353"/>
  <c r="W29" i="353"/>
  <c r="X24" i="352"/>
  <c r="W25" i="352"/>
  <c r="W20" i="351"/>
  <c r="W21" i="351" s="1"/>
  <c r="W22" i="351" s="1"/>
  <c r="X19" i="351"/>
  <c r="W23" i="350"/>
  <c r="W24" i="350" s="1"/>
  <c r="X22" i="350"/>
  <c r="W38" i="361" l="1"/>
  <c r="X37" i="361"/>
  <c r="X36" i="360"/>
  <c r="W37" i="360"/>
  <c r="W38" i="359"/>
  <c r="X37" i="359"/>
  <c r="W36" i="358"/>
  <c r="X35" i="358"/>
  <c r="W33" i="357"/>
  <c r="X32" i="357"/>
  <c r="W32" i="356"/>
  <c r="X31" i="356"/>
  <c r="X30" i="355"/>
  <c r="W31" i="355"/>
  <c r="L28" i="353"/>
  <c r="X27" i="353"/>
  <c r="W30" i="353"/>
  <c r="X25" i="352"/>
  <c r="W26" i="352"/>
  <c r="W23" i="351"/>
  <c r="W24" i="351" s="1"/>
  <c r="X22" i="351"/>
  <c r="W25" i="350"/>
  <c r="X24" i="350"/>
  <c r="X38" i="361" l="1"/>
  <c r="W39" i="361"/>
  <c r="X37" i="360"/>
  <c r="W38" i="360"/>
  <c r="W39" i="359"/>
  <c r="X38" i="359"/>
  <c r="W37" i="358"/>
  <c r="X36" i="358"/>
  <c r="W34" i="357"/>
  <c r="X33" i="357"/>
  <c r="W33" i="356"/>
  <c r="X32" i="356"/>
  <c r="X31" i="355"/>
  <c r="W32" i="355"/>
  <c r="L29" i="353"/>
  <c r="X28" i="353"/>
  <c r="W31" i="353"/>
  <c r="W27" i="352"/>
  <c r="X26" i="352"/>
  <c r="X24" i="351"/>
  <c r="W25" i="351"/>
  <c r="X25" i="350"/>
  <c r="W26" i="350"/>
  <c r="X39" i="361" l="1"/>
  <c r="W40" i="361"/>
  <c r="W41" i="361" s="1"/>
  <c r="X38" i="360"/>
  <c r="W39" i="360"/>
  <c r="X39" i="359"/>
  <c r="W40" i="359"/>
  <c r="W41" i="359" s="1"/>
  <c r="W38" i="358"/>
  <c r="X37" i="358"/>
  <c r="W35" i="357"/>
  <c r="X34" i="357"/>
  <c r="W34" i="356"/>
  <c r="X33" i="356"/>
  <c r="X32" i="355"/>
  <c r="W33" i="355"/>
  <c r="L30" i="353"/>
  <c r="X29" i="353"/>
  <c r="W32" i="353"/>
  <c r="X27" i="352"/>
  <c r="W28" i="352"/>
  <c r="W26" i="351"/>
  <c r="X25" i="351"/>
  <c r="W27" i="350"/>
  <c r="X26" i="350"/>
  <c r="X41" i="361" l="1"/>
  <c r="W42" i="361"/>
  <c r="X39" i="360"/>
  <c r="W40" i="360"/>
  <c r="W41" i="360" s="1"/>
  <c r="W42" i="359"/>
  <c r="X41" i="359"/>
  <c r="X38" i="358"/>
  <c r="W39" i="358"/>
  <c r="W36" i="357"/>
  <c r="X35" i="357"/>
  <c r="X34" i="356"/>
  <c r="W35" i="356"/>
  <c r="X33" i="355"/>
  <c r="W34" i="355"/>
  <c r="L31" i="353"/>
  <c r="X30" i="353"/>
  <c r="W33" i="353"/>
  <c r="X28" i="352"/>
  <c r="W29" i="352"/>
  <c r="W27" i="351"/>
  <c r="X26" i="351"/>
  <c r="W28" i="350"/>
  <c r="X27" i="350"/>
  <c r="W43" i="361" l="1"/>
  <c r="X42" i="361"/>
  <c r="W42" i="360"/>
  <c r="X41" i="360"/>
  <c r="X42" i="359"/>
  <c r="W43" i="359"/>
  <c r="X39" i="358"/>
  <c r="W40" i="358"/>
  <c r="W41" i="358" s="1"/>
  <c r="W37" i="357"/>
  <c r="X36" i="357"/>
  <c r="X35" i="356"/>
  <c r="W36" i="356"/>
  <c r="X34" i="355"/>
  <c r="W35" i="355"/>
  <c r="L32" i="353"/>
  <c r="X31" i="353"/>
  <c r="W34" i="353"/>
  <c r="X29" i="352"/>
  <c r="W30" i="352"/>
  <c r="X27" i="351"/>
  <c r="W28" i="351"/>
  <c r="W29" i="350"/>
  <c r="X28" i="350"/>
  <c r="X43" i="361" l="1"/>
  <c r="W44" i="361"/>
  <c r="W43" i="360"/>
  <c r="X42" i="360"/>
  <c r="W44" i="359"/>
  <c r="X43" i="359"/>
  <c r="X41" i="358"/>
  <c r="W42" i="358"/>
  <c r="W38" i="357"/>
  <c r="X37" i="357"/>
  <c r="X36" i="356"/>
  <c r="W37" i="356"/>
  <c r="W36" i="355"/>
  <c r="X35" i="355"/>
  <c r="L33" i="353"/>
  <c r="X32" i="353"/>
  <c r="W35" i="353"/>
  <c r="W31" i="352"/>
  <c r="X30" i="352"/>
  <c r="X28" i="351"/>
  <c r="W29" i="351"/>
  <c r="X29" i="350"/>
  <c r="W30" i="350"/>
  <c r="W45" i="361" l="1"/>
  <c r="X44" i="361"/>
  <c r="W44" i="360"/>
  <c r="X43" i="360"/>
  <c r="W45" i="359"/>
  <c r="X44" i="359"/>
  <c r="X42" i="358"/>
  <c r="W43" i="358"/>
  <c r="X38" i="357"/>
  <c r="W39" i="357"/>
  <c r="X37" i="356"/>
  <c r="W38" i="356"/>
  <c r="W37" i="355"/>
  <c r="X36" i="355"/>
  <c r="L34" i="353"/>
  <c r="X33" i="353"/>
  <c r="W36" i="353"/>
  <c r="W32" i="352"/>
  <c r="X31" i="352"/>
  <c r="X29" i="351"/>
  <c r="W30" i="351"/>
  <c r="X30" i="350"/>
  <c r="W31" i="350"/>
  <c r="W46" i="361" l="1"/>
  <c r="X45" i="361"/>
  <c r="W45" i="360"/>
  <c r="X44" i="360"/>
  <c r="W46" i="359"/>
  <c r="X45" i="359"/>
  <c r="X43" i="358"/>
  <c r="W44" i="358"/>
  <c r="X39" i="357"/>
  <c r="W40" i="357"/>
  <c r="W41" i="357" s="1"/>
  <c r="X38" i="356"/>
  <c r="W39" i="356"/>
  <c r="W38" i="355"/>
  <c r="X37" i="355"/>
  <c r="L35" i="353"/>
  <c r="X34" i="353"/>
  <c r="W37" i="353"/>
  <c r="W33" i="352"/>
  <c r="X32" i="352"/>
  <c r="W31" i="351"/>
  <c r="X30" i="351"/>
  <c r="W32" i="350"/>
  <c r="X31" i="350"/>
  <c r="W47" i="361" l="1"/>
  <c r="X46" i="361"/>
  <c r="W46" i="360"/>
  <c r="X45" i="360"/>
  <c r="W47" i="359"/>
  <c r="X46" i="359"/>
  <c r="W45" i="358"/>
  <c r="X44" i="358"/>
  <c r="W42" i="357"/>
  <c r="X41" i="357"/>
  <c r="W40" i="356"/>
  <c r="W41" i="356" s="1"/>
  <c r="X39" i="356"/>
  <c r="W39" i="355"/>
  <c r="X38" i="355"/>
  <c r="L36" i="353"/>
  <c r="X35" i="353"/>
  <c r="W38" i="353"/>
  <c r="W34" i="352"/>
  <c r="X33" i="352"/>
  <c r="W32" i="351"/>
  <c r="X31" i="351"/>
  <c r="X32" i="350"/>
  <c r="W33" i="350"/>
  <c r="X47" i="361" l="1"/>
  <c r="W48" i="361"/>
  <c r="W49" i="361" s="1"/>
  <c r="X46" i="360"/>
  <c r="W47" i="360"/>
  <c r="W48" i="359"/>
  <c r="W49" i="359" s="1"/>
  <c r="X47" i="359"/>
  <c r="W46" i="358"/>
  <c r="X45" i="358"/>
  <c r="W43" i="357"/>
  <c r="X42" i="357"/>
  <c r="W42" i="356"/>
  <c r="X41" i="356"/>
  <c r="W40" i="355"/>
  <c r="W41" i="355" s="1"/>
  <c r="X39" i="355"/>
  <c r="L37" i="353"/>
  <c r="X36" i="353"/>
  <c r="W39" i="353"/>
  <c r="W35" i="352"/>
  <c r="X34" i="352"/>
  <c r="W33" i="351"/>
  <c r="X32" i="351"/>
  <c r="W34" i="350"/>
  <c r="X33" i="350"/>
  <c r="X49" i="361" l="1"/>
  <c r="W50" i="361"/>
  <c r="W48" i="360"/>
  <c r="W49" i="360" s="1"/>
  <c r="X47" i="360"/>
  <c r="X49" i="359"/>
  <c r="W50" i="359"/>
  <c r="W47" i="358"/>
  <c r="X46" i="358"/>
  <c r="W44" i="357"/>
  <c r="X43" i="357"/>
  <c r="X42" i="356"/>
  <c r="W43" i="356"/>
  <c r="X41" i="355"/>
  <c r="W42" i="355"/>
  <c r="L38" i="353"/>
  <c r="X37" i="353"/>
  <c r="W40" i="353"/>
  <c r="W41" i="353" s="1"/>
  <c r="X35" i="352"/>
  <c r="W36" i="352"/>
  <c r="W34" i="351"/>
  <c r="X33" i="351"/>
  <c r="X34" i="350"/>
  <c r="W35" i="350"/>
  <c r="X50" i="361" l="1"/>
  <c r="W51" i="361"/>
  <c r="W52" i="361" s="1"/>
  <c r="W53" i="361" s="1"/>
  <c r="W50" i="360"/>
  <c r="X49" i="360"/>
  <c r="X50" i="359"/>
  <c r="W51" i="359"/>
  <c r="W52" i="359" s="1"/>
  <c r="W53" i="359" s="1"/>
  <c r="X47" i="358"/>
  <c r="W48" i="358"/>
  <c r="W49" i="358" s="1"/>
  <c r="W45" i="357"/>
  <c r="X44" i="357"/>
  <c r="X43" i="356"/>
  <c r="W44" i="356"/>
  <c r="X42" i="355"/>
  <c r="W43" i="355"/>
  <c r="L39" i="353"/>
  <c r="X38" i="353"/>
  <c r="W42" i="353"/>
  <c r="X36" i="352"/>
  <c r="W37" i="352"/>
  <c r="W35" i="351"/>
  <c r="X34" i="351"/>
  <c r="X35" i="350"/>
  <c r="W36" i="350"/>
  <c r="X53" i="361" l="1"/>
  <c r="W54" i="361"/>
  <c r="X50" i="360"/>
  <c r="W51" i="360"/>
  <c r="W52" i="360" s="1"/>
  <c r="W53" i="360" s="1"/>
  <c r="X53" i="359"/>
  <c r="W54" i="359"/>
  <c r="W50" i="358"/>
  <c r="X49" i="358"/>
  <c r="W46" i="357"/>
  <c r="X45" i="357"/>
  <c r="X44" i="356"/>
  <c r="W45" i="356"/>
  <c r="X43" i="355"/>
  <c r="W44" i="355"/>
  <c r="L40" i="353"/>
  <c r="L41" i="353" s="1"/>
  <c r="X39" i="353"/>
  <c r="W43" i="353"/>
  <c r="X37" i="352"/>
  <c r="W38" i="352"/>
  <c r="X35" i="351"/>
  <c r="W36" i="351"/>
  <c r="X36" i="350"/>
  <c r="W37" i="350"/>
  <c r="X54" i="361" l="1"/>
  <c r="W55" i="361"/>
  <c r="X53" i="360"/>
  <c r="W54" i="360"/>
  <c r="X54" i="359"/>
  <c r="W55" i="359"/>
  <c r="X50" i="358"/>
  <c r="W51" i="358"/>
  <c r="W52" i="358" s="1"/>
  <c r="W53" i="358" s="1"/>
  <c r="W47" i="357"/>
  <c r="X46" i="357"/>
  <c r="W46" i="356"/>
  <c r="X45" i="356"/>
  <c r="X44" i="355"/>
  <c r="W45" i="355"/>
  <c r="L42" i="353"/>
  <c r="X41" i="353"/>
  <c r="W44" i="353"/>
  <c r="X38" i="352"/>
  <c r="W39" i="352"/>
  <c r="X36" i="351"/>
  <c r="W37" i="351"/>
  <c r="X37" i="350"/>
  <c r="W38" i="350"/>
  <c r="W56" i="361" l="1"/>
  <c r="X55" i="361"/>
  <c r="X54" i="360"/>
  <c r="W55" i="360"/>
  <c r="W56" i="359"/>
  <c r="X55" i="359"/>
  <c r="X53" i="358"/>
  <c r="W54" i="358"/>
  <c r="X47" i="357"/>
  <c r="W48" i="357"/>
  <c r="W49" i="357" s="1"/>
  <c r="W47" i="356"/>
  <c r="X46" i="356"/>
  <c r="W46" i="355"/>
  <c r="X45" i="355"/>
  <c r="L43" i="353"/>
  <c r="X42" i="353"/>
  <c r="W45" i="353"/>
  <c r="X39" i="352"/>
  <c r="W40" i="352"/>
  <c r="W41" i="352" s="1"/>
  <c r="X37" i="351"/>
  <c r="W38" i="351"/>
  <c r="W39" i="350"/>
  <c r="X38" i="350"/>
  <c r="W57" i="361" l="1"/>
  <c r="W58" i="361" s="1"/>
  <c r="W59" i="361" s="1"/>
  <c r="W60" i="361" s="1"/>
  <c r="W61" i="361" s="1"/>
  <c r="W62" i="361" s="1"/>
  <c r="W63" i="361" s="1"/>
  <c r="W64" i="361" s="1"/>
  <c r="W65" i="361" s="1"/>
  <c r="W66" i="361" s="1"/>
  <c r="W67" i="361" s="1"/>
  <c r="W68" i="361" s="1"/>
  <c r="W69" i="361" s="1"/>
  <c r="W70" i="361" s="1"/>
  <c r="W71" i="361" s="1"/>
  <c r="W72" i="361" s="1"/>
  <c r="W73" i="361" s="1"/>
  <c r="W74" i="361" s="1"/>
  <c r="W75" i="361" s="1"/>
  <c r="W76" i="361" s="1"/>
  <c r="W77" i="361" s="1"/>
  <c r="W78" i="361" s="1"/>
  <c r="W79" i="361" s="1"/>
  <c r="W80" i="361" s="1"/>
  <c r="W81" i="361" s="1"/>
  <c r="W82" i="361" s="1"/>
  <c r="W83" i="361" s="1"/>
  <c r="W84" i="361" s="1"/>
  <c r="W85" i="361" s="1"/>
  <c r="W86" i="361" s="1"/>
  <c r="W87" i="361" s="1"/>
  <c r="W88" i="361" s="1"/>
  <c r="W89" i="361" s="1"/>
  <c r="W90" i="361" s="1"/>
  <c r="W91" i="361" s="1"/>
  <c r="W92" i="361" s="1"/>
  <c r="W93" i="361" s="1"/>
  <c r="W94" i="361" s="1"/>
  <c r="W95" i="361" s="1"/>
  <c r="W96" i="361" s="1"/>
  <c r="W97" i="361" s="1"/>
  <c r="W98" i="361" s="1"/>
  <c r="W99" i="361" s="1"/>
  <c r="W100" i="361" s="1"/>
  <c r="W101" i="361" s="1"/>
  <c r="W102" i="361" s="1"/>
  <c r="W103" i="361" s="1"/>
  <c r="W105" i="361" s="1"/>
  <c r="X56" i="361"/>
  <c r="X55" i="360"/>
  <c r="W56" i="360"/>
  <c r="W57" i="359"/>
  <c r="W58" i="359" s="1"/>
  <c r="W59" i="359" s="1"/>
  <c r="W60" i="359" s="1"/>
  <c r="W61" i="359" s="1"/>
  <c r="W62" i="359" s="1"/>
  <c r="W63" i="359" s="1"/>
  <c r="W64" i="359" s="1"/>
  <c r="W65" i="359" s="1"/>
  <c r="W66" i="359" s="1"/>
  <c r="W67" i="359" s="1"/>
  <c r="W68" i="359" s="1"/>
  <c r="W69" i="359" s="1"/>
  <c r="W70" i="359" s="1"/>
  <c r="W71" i="359" s="1"/>
  <c r="W72" i="359" s="1"/>
  <c r="W73" i="359" s="1"/>
  <c r="W74" i="359" s="1"/>
  <c r="W75" i="359" s="1"/>
  <c r="W76" i="359" s="1"/>
  <c r="W77" i="359" s="1"/>
  <c r="W78" i="359" s="1"/>
  <c r="W79" i="359" s="1"/>
  <c r="W80" i="359" s="1"/>
  <c r="W81" i="359" s="1"/>
  <c r="W82" i="359" s="1"/>
  <c r="W83" i="359" s="1"/>
  <c r="W84" i="359" s="1"/>
  <c r="W85" i="359" s="1"/>
  <c r="W86" i="359" s="1"/>
  <c r="W87" i="359" s="1"/>
  <c r="W88" i="359" s="1"/>
  <c r="W89" i="359" s="1"/>
  <c r="W90" i="359" s="1"/>
  <c r="W91" i="359" s="1"/>
  <c r="W92" i="359" s="1"/>
  <c r="W93" i="359" s="1"/>
  <c r="W94" i="359" s="1"/>
  <c r="W95" i="359" s="1"/>
  <c r="W96" i="359" s="1"/>
  <c r="W97" i="359" s="1"/>
  <c r="W98" i="359" s="1"/>
  <c r="W99" i="359" s="1"/>
  <c r="W100" i="359" s="1"/>
  <c r="W101" i="359" s="1"/>
  <c r="W102" i="359" s="1"/>
  <c r="W103" i="359" s="1"/>
  <c r="W105" i="359" s="1"/>
  <c r="X56" i="359"/>
  <c r="X54" i="358"/>
  <c r="W55" i="358"/>
  <c r="W50" i="357"/>
  <c r="X49" i="357"/>
  <c r="W48" i="356"/>
  <c r="W49" i="356" s="1"/>
  <c r="X47" i="356"/>
  <c r="X46" i="355"/>
  <c r="W47" i="355"/>
  <c r="L44" i="353"/>
  <c r="X43" i="353"/>
  <c r="W46" i="353"/>
  <c r="W42" i="352"/>
  <c r="X41" i="352"/>
  <c r="X38" i="351"/>
  <c r="W39" i="351"/>
  <c r="W40" i="350"/>
  <c r="W41" i="350" s="1"/>
  <c r="X39" i="350"/>
  <c r="X56" i="360" l="1"/>
  <c r="W57" i="360"/>
  <c r="W58" i="360" s="1"/>
  <c r="W59" i="360" s="1"/>
  <c r="W60" i="360" s="1"/>
  <c r="W61" i="360" s="1"/>
  <c r="W62" i="360" s="1"/>
  <c r="W63" i="360" s="1"/>
  <c r="W64" i="360" s="1"/>
  <c r="W65" i="360" s="1"/>
  <c r="W66" i="360" s="1"/>
  <c r="W67" i="360" s="1"/>
  <c r="W68" i="360" s="1"/>
  <c r="W69" i="360" s="1"/>
  <c r="W70" i="360" s="1"/>
  <c r="W71" i="360" s="1"/>
  <c r="W72" i="360" s="1"/>
  <c r="W73" i="360" s="1"/>
  <c r="W74" i="360" s="1"/>
  <c r="W75" i="360" s="1"/>
  <c r="W76" i="360" s="1"/>
  <c r="W77" i="360" s="1"/>
  <c r="W78" i="360" s="1"/>
  <c r="W79" i="360" s="1"/>
  <c r="W80" i="360" s="1"/>
  <c r="W81" i="360" s="1"/>
  <c r="W82" i="360" s="1"/>
  <c r="W83" i="360" s="1"/>
  <c r="W84" i="360" s="1"/>
  <c r="W85" i="360" s="1"/>
  <c r="W86" i="360" s="1"/>
  <c r="W87" i="360" s="1"/>
  <c r="W88" i="360" s="1"/>
  <c r="W89" i="360" s="1"/>
  <c r="W90" i="360" s="1"/>
  <c r="W91" i="360" s="1"/>
  <c r="W92" i="360" s="1"/>
  <c r="W93" i="360" s="1"/>
  <c r="W94" i="360" s="1"/>
  <c r="W95" i="360" s="1"/>
  <c r="W96" i="360" s="1"/>
  <c r="W97" i="360" s="1"/>
  <c r="W98" i="360" s="1"/>
  <c r="W99" i="360" s="1"/>
  <c r="W100" i="360" s="1"/>
  <c r="W101" i="360" s="1"/>
  <c r="W102" i="360" s="1"/>
  <c r="W103" i="360" s="1"/>
  <c r="W105" i="360" s="1"/>
  <c r="W56" i="358"/>
  <c r="X55" i="358"/>
  <c r="W51" i="357"/>
  <c r="W52" i="357" s="1"/>
  <c r="W53" i="357" s="1"/>
  <c r="X50" i="357"/>
  <c r="X49" i="356"/>
  <c r="W50" i="356"/>
  <c r="X47" i="355"/>
  <c r="W48" i="355"/>
  <c r="W49" i="355" s="1"/>
  <c r="W47" i="353"/>
  <c r="L45" i="353"/>
  <c r="X44" i="353"/>
  <c r="W43" i="352"/>
  <c r="X42" i="352"/>
  <c r="X39" i="351"/>
  <c r="W40" i="351"/>
  <c r="W41" i="351" s="1"/>
  <c r="W42" i="350"/>
  <c r="X41" i="350"/>
  <c r="W57" i="358" l="1"/>
  <c r="W58" i="358" s="1"/>
  <c r="W59" i="358" s="1"/>
  <c r="W60" i="358" s="1"/>
  <c r="W61" i="358" s="1"/>
  <c r="W62" i="358" s="1"/>
  <c r="W63" i="358" s="1"/>
  <c r="W64" i="358" s="1"/>
  <c r="W65" i="358" s="1"/>
  <c r="W66" i="358" s="1"/>
  <c r="W67" i="358" s="1"/>
  <c r="W68" i="358" s="1"/>
  <c r="W69" i="358" s="1"/>
  <c r="W70" i="358" s="1"/>
  <c r="W71" i="358" s="1"/>
  <c r="W72" i="358" s="1"/>
  <c r="W73" i="358" s="1"/>
  <c r="W74" i="358" s="1"/>
  <c r="W75" i="358" s="1"/>
  <c r="W76" i="358" s="1"/>
  <c r="W77" i="358" s="1"/>
  <c r="W78" i="358" s="1"/>
  <c r="W79" i="358" s="1"/>
  <c r="W80" i="358" s="1"/>
  <c r="W81" i="358" s="1"/>
  <c r="W82" i="358" s="1"/>
  <c r="W83" i="358" s="1"/>
  <c r="W84" i="358" s="1"/>
  <c r="W85" i="358" s="1"/>
  <c r="W86" i="358" s="1"/>
  <c r="W87" i="358" s="1"/>
  <c r="W88" i="358" s="1"/>
  <c r="W89" i="358" s="1"/>
  <c r="W90" i="358" s="1"/>
  <c r="W91" i="358" s="1"/>
  <c r="W92" i="358" s="1"/>
  <c r="W93" i="358" s="1"/>
  <c r="W94" i="358" s="1"/>
  <c r="W95" i="358" s="1"/>
  <c r="W96" i="358" s="1"/>
  <c r="W97" i="358" s="1"/>
  <c r="W98" i="358" s="1"/>
  <c r="W99" i="358" s="1"/>
  <c r="W100" i="358" s="1"/>
  <c r="W101" i="358" s="1"/>
  <c r="W102" i="358" s="1"/>
  <c r="W103" i="358" s="1"/>
  <c r="W105" i="358" s="1"/>
  <c r="X56" i="358"/>
  <c r="W54" i="357"/>
  <c r="X53" i="357"/>
  <c r="X50" i="356"/>
  <c r="W51" i="356"/>
  <c r="W52" i="356" s="1"/>
  <c r="W53" i="356" s="1"/>
  <c r="X49" i="355"/>
  <c r="W50" i="355"/>
  <c r="L46" i="353"/>
  <c r="X45" i="353"/>
  <c r="W48" i="353"/>
  <c r="W49" i="353" s="1"/>
  <c r="W44" i="352"/>
  <c r="X43" i="352"/>
  <c r="W42" i="351"/>
  <c r="X41" i="351"/>
  <c r="W43" i="350"/>
  <c r="X42" i="350"/>
  <c r="W55" i="357" l="1"/>
  <c r="X54" i="357"/>
  <c r="X53" i="356"/>
  <c r="W54" i="356"/>
  <c r="W51" i="355"/>
  <c r="W52" i="355" s="1"/>
  <c r="W53" i="355" s="1"/>
  <c r="X50" i="355"/>
  <c r="W50" i="353"/>
  <c r="L47" i="353"/>
  <c r="X46" i="353"/>
  <c r="W45" i="352"/>
  <c r="X44" i="352"/>
  <c r="W43" i="351"/>
  <c r="X42" i="351"/>
  <c r="W44" i="350"/>
  <c r="X43" i="350"/>
  <c r="W56" i="357" l="1"/>
  <c r="X55" i="357"/>
  <c r="W55" i="356"/>
  <c r="X54" i="356"/>
  <c r="X53" i="355"/>
  <c r="W54" i="355"/>
  <c r="L48" i="353"/>
  <c r="L49" i="353" s="1"/>
  <c r="X47" i="353"/>
  <c r="W51" i="353"/>
  <c r="W52" i="353" s="1"/>
  <c r="W53" i="353" s="1"/>
  <c r="W46" i="352"/>
  <c r="X45" i="352"/>
  <c r="W44" i="351"/>
  <c r="X43" i="351"/>
  <c r="W45" i="350"/>
  <c r="X44" i="350"/>
  <c r="X56" i="357" l="1"/>
  <c r="W57" i="357"/>
  <c r="W58" i="357" s="1"/>
  <c r="W59" i="357" s="1"/>
  <c r="W60" i="357" s="1"/>
  <c r="W61" i="357" s="1"/>
  <c r="W62" i="357" s="1"/>
  <c r="W63" i="357" s="1"/>
  <c r="W64" i="357" s="1"/>
  <c r="W65" i="357" s="1"/>
  <c r="W66" i="357" s="1"/>
  <c r="W67" i="357" s="1"/>
  <c r="W68" i="357" s="1"/>
  <c r="W69" i="357" s="1"/>
  <c r="W70" i="357" s="1"/>
  <c r="W71" i="357" s="1"/>
  <c r="W72" i="357" s="1"/>
  <c r="W73" i="357" s="1"/>
  <c r="W74" i="357" s="1"/>
  <c r="W75" i="357" s="1"/>
  <c r="W76" i="357" s="1"/>
  <c r="W77" i="357" s="1"/>
  <c r="W78" i="357" s="1"/>
  <c r="W79" i="357" s="1"/>
  <c r="W80" i="357" s="1"/>
  <c r="W81" i="357" s="1"/>
  <c r="W82" i="357" s="1"/>
  <c r="W83" i="357" s="1"/>
  <c r="W84" i="357" s="1"/>
  <c r="W85" i="357" s="1"/>
  <c r="W86" i="357" s="1"/>
  <c r="W87" i="357" s="1"/>
  <c r="W88" i="357" s="1"/>
  <c r="W89" i="357" s="1"/>
  <c r="W90" i="357" s="1"/>
  <c r="W91" i="357" s="1"/>
  <c r="W92" i="357" s="1"/>
  <c r="W93" i="357" s="1"/>
  <c r="W94" i="357" s="1"/>
  <c r="W95" i="357" s="1"/>
  <c r="W96" i="357" s="1"/>
  <c r="W97" i="357" s="1"/>
  <c r="W98" i="357" s="1"/>
  <c r="W99" i="357" s="1"/>
  <c r="W100" i="357" s="1"/>
  <c r="W101" i="357" s="1"/>
  <c r="W102" i="357" s="1"/>
  <c r="W103" i="357" s="1"/>
  <c r="W105" i="357" s="1"/>
  <c r="X55" i="356"/>
  <c r="W56" i="356"/>
  <c r="X54" i="355"/>
  <c r="W55" i="355"/>
  <c r="W54" i="353"/>
  <c r="L50" i="353"/>
  <c r="X49" i="353"/>
  <c r="X46" i="352"/>
  <c r="W47" i="352"/>
  <c r="W45" i="351"/>
  <c r="X44" i="351"/>
  <c r="W46" i="350"/>
  <c r="X45" i="350"/>
  <c r="X56" i="356" l="1"/>
  <c r="W57" i="356"/>
  <c r="W58" i="356" s="1"/>
  <c r="W59" i="356" s="1"/>
  <c r="W60" i="356" s="1"/>
  <c r="W61" i="356" s="1"/>
  <c r="W62" i="356" s="1"/>
  <c r="W63" i="356" s="1"/>
  <c r="W64" i="356" s="1"/>
  <c r="W65" i="356" s="1"/>
  <c r="W66" i="356" s="1"/>
  <c r="W67" i="356" s="1"/>
  <c r="W68" i="356" s="1"/>
  <c r="W69" i="356" s="1"/>
  <c r="W70" i="356" s="1"/>
  <c r="W71" i="356" s="1"/>
  <c r="W72" i="356" s="1"/>
  <c r="W73" i="356" s="1"/>
  <c r="W74" i="356" s="1"/>
  <c r="W75" i="356" s="1"/>
  <c r="W76" i="356" s="1"/>
  <c r="W77" i="356" s="1"/>
  <c r="W78" i="356" s="1"/>
  <c r="W79" i="356" s="1"/>
  <c r="W80" i="356" s="1"/>
  <c r="W81" i="356" s="1"/>
  <c r="W82" i="356" s="1"/>
  <c r="W83" i="356" s="1"/>
  <c r="W84" i="356" s="1"/>
  <c r="W85" i="356" s="1"/>
  <c r="W86" i="356" s="1"/>
  <c r="W87" i="356" s="1"/>
  <c r="W88" i="356" s="1"/>
  <c r="W89" i="356" s="1"/>
  <c r="W90" i="356" s="1"/>
  <c r="W91" i="356" s="1"/>
  <c r="W92" i="356" s="1"/>
  <c r="W93" i="356" s="1"/>
  <c r="W94" i="356" s="1"/>
  <c r="W95" i="356" s="1"/>
  <c r="W96" i="356" s="1"/>
  <c r="W97" i="356" s="1"/>
  <c r="W98" i="356" s="1"/>
  <c r="W99" i="356" s="1"/>
  <c r="W100" i="356" s="1"/>
  <c r="W101" i="356" s="1"/>
  <c r="W102" i="356" s="1"/>
  <c r="W103" i="356" s="1"/>
  <c r="W105" i="356" s="1"/>
  <c r="X55" i="355"/>
  <c r="W56" i="355"/>
  <c r="L51" i="353"/>
  <c r="L52" i="353" s="1"/>
  <c r="L53" i="353" s="1"/>
  <c r="X50" i="353"/>
  <c r="W55" i="353"/>
  <c r="W48" i="352"/>
  <c r="W49" i="352" s="1"/>
  <c r="X47" i="352"/>
  <c r="W46" i="351"/>
  <c r="X45" i="351"/>
  <c r="X46" i="350"/>
  <c r="W47" i="350"/>
  <c r="X56" i="355" l="1"/>
  <c r="W57" i="355"/>
  <c r="W58" i="355" s="1"/>
  <c r="W59" i="355" s="1"/>
  <c r="W60" i="355" s="1"/>
  <c r="W61" i="355" s="1"/>
  <c r="W62" i="355" s="1"/>
  <c r="W63" i="355" s="1"/>
  <c r="W64" i="355" s="1"/>
  <c r="W65" i="355" s="1"/>
  <c r="W66" i="355" s="1"/>
  <c r="W67" i="355" s="1"/>
  <c r="W68" i="355" s="1"/>
  <c r="W69" i="355" s="1"/>
  <c r="W70" i="355" s="1"/>
  <c r="W71" i="355" s="1"/>
  <c r="W72" i="355" s="1"/>
  <c r="W73" i="355" s="1"/>
  <c r="W74" i="355" s="1"/>
  <c r="W75" i="355" s="1"/>
  <c r="W76" i="355" s="1"/>
  <c r="W77" i="355" s="1"/>
  <c r="W78" i="355" s="1"/>
  <c r="W79" i="355" s="1"/>
  <c r="W80" i="355" s="1"/>
  <c r="W81" i="355" s="1"/>
  <c r="W82" i="355" s="1"/>
  <c r="W83" i="355" s="1"/>
  <c r="W84" i="355" s="1"/>
  <c r="W85" i="355" s="1"/>
  <c r="W86" i="355" s="1"/>
  <c r="W87" i="355" s="1"/>
  <c r="W88" i="355" s="1"/>
  <c r="W89" i="355" s="1"/>
  <c r="W90" i="355" s="1"/>
  <c r="W91" i="355" s="1"/>
  <c r="W92" i="355" s="1"/>
  <c r="W93" i="355" s="1"/>
  <c r="W94" i="355" s="1"/>
  <c r="W95" i="355" s="1"/>
  <c r="W96" i="355" s="1"/>
  <c r="W97" i="355" s="1"/>
  <c r="W98" i="355" s="1"/>
  <c r="W99" i="355" s="1"/>
  <c r="W100" i="355" s="1"/>
  <c r="W101" i="355" s="1"/>
  <c r="W102" i="355" s="1"/>
  <c r="W103" i="355" s="1"/>
  <c r="W105" i="355" s="1"/>
  <c r="W56" i="353"/>
  <c r="L54" i="353"/>
  <c r="X53" i="353"/>
  <c r="W50" i="352"/>
  <c r="X49" i="352"/>
  <c r="W47" i="351"/>
  <c r="X46" i="351"/>
  <c r="W48" i="350"/>
  <c r="W49" i="350" s="1"/>
  <c r="X47" i="350"/>
  <c r="L55" i="353" l="1"/>
  <c r="X54" i="353"/>
  <c r="W57" i="353"/>
  <c r="W58" i="353" s="1"/>
  <c r="W59" i="353" s="1"/>
  <c r="W60" i="353" s="1"/>
  <c r="W61" i="353" s="1"/>
  <c r="W62" i="353" s="1"/>
  <c r="W63" i="353" s="1"/>
  <c r="W64" i="353" s="1"/>
  <c r="W65" i="353" s="1"/>
  <c r="W66" i="353" s="1"/>
  <c r="W67" i="353" s="1"/>
  <c r="W68" i="353" s="1"/>
  <c r="W69" i="353" s="1"/>
  <c r="W70" i="353" s="1"/>
  <c r="W71" i="353" s="1"/>
  <c r="W72" i="353" s="1"/>
  <c r="W73" i="353" s="1"/>
  <c r="W74" i="353" s="1"/>
  <c r="W75" i="353" s="1"/>
  <c r="W76" i="353" s="1"/>
  <c r="W77" i="353" s="1"/>
  <c r="W78" i="353" s="1"/>
  <c r="W79" i="353" s="1"/>
  <c r="W80" i="353" s="1"/>
  <c r="W81" i="353" s="1"/>
  <c r="W82" i="353" s="1"/>
  <c r="W83" i="353" s="1"/>
  <c r="W84" i="353" s="1"/>
  <c r="W85" i="353" s="1"/>
  <c r="W86" i="353" s="1"/>
  <c r="W87" i="353" s="1"/>
  <c r="W88" i="353" s="1"/>
  <c r="W89" i="353" s="1"/>
  <c r="W90" i="353" s="1"/>
  <c r="W91" i="353" s="1"/>
  <c r="W92" i="353" s="1"/>
  <c r="W93" i="353" s="1"/>
  <c r="W94" i="353" s="1"/>
  <c r="W95" i="353" s="1"/>
  <c r="W96" i="353" s="1"/>
  <c r="W97" i="353" s="1"/>
  <c r="W98" i="353" s="1"/>
  <c r="W99" i="353" s="1"/>
  <c r="W100" i="353" s="1"/>
  <c r="W101" i="353" s="1"/>
  <c r="W102" i="353" s="1"/>
  <c r="W103" i="353" s="1"/>
  <c r="W105" i="353" s="1"/>
  <c r="W51" i="352"/>
  <c r="W52" i="352" s="1"/>
  <c r="W53" i="352" s="1"/>
  <c r="X50" i="352"/>
  <c r="W48" i="351"/>
  <c r="W49" i="351" s="1"/>
  <c r="X47" i="351"/>
  <c r="X49" i="350"/>
  <c r="W50" i="350"/>
  <c r="L56" i="353" l="1"/>
  <c r="X55" i="353"/>
  <c r="W54" i="352"/>
  <c r="X53" i="352"/>
  <c r="X49" i="351"/>
  <c r="W50" i="351"/>
  <c r="W51" i="350"/>
  <c r="W52" i="350" s="1"/>
  <c r="W53" i="350" s="1"/>
  <c r="X50" i="350"/>
  <c r="L57" i="353" l="1"/>
  <c r="L58" i="353" s="1"/>
  <c r="L59" i="353" s="1"/>
  <c r="L60" i="353" s="1"/>
  <c r="L61" i="353" s="1"/>
  <c r="L62" i="353" s="1"/>
  <c r="L63" i="353" s="1"/>
  <c r="L64" i="353" s="1"/>
  <c r="L65" i="353" s="1"/>
  <c r="L66" i="353" s="1"/>
  <c r="L67" i="353" s="1"/>
  <c r="L68" i="353" s="1"/>
  <c r="L69" i="353" s="1"/>
  <c r="L70" i="353" s="1"/>
  <c r="L71" i="353" s="1"/>
  <c r="L72" i="353" s="1"/>
  <c r="L73" i="353" s="1"/>
  <c r="L74" i="353" s="1"/>
  <c r="L75" i="353" s="1"/>
  <c r="L76" i="353" s="1"/>
  <c r="L77" i="353" s="1"/>
  <c r="L78" i="353" s="1"/>
  <c r="L79" i="353" s="1"/>
  <c r="L80" i="353" s="1"/>
  <c r="L81" i="353" s="1"/>
  <c r="L82" i="353" s="1"/>
  <c r="L83" i="353" s="1"/>
  <c r="L84" i="353" s="1"/>
  <c r="L85" i="353" s="1"/>
  <c r="L86" i="353" s="1"/>
  <c r="L87" i="353" s="1"/>
  <c r="L88" i="353" s="1"/>
  <c r="L89" i="353" s="1"/>
  <c r="L90" i="353" s="1"/>
  <c r="L91" i="353" s="1"/>
  <c r="L92" i="353" s="1"/>
  <c r="L93" i="353" s="1"/>
  <c r="L94" i="353" s="1"/>
  <c r="L95" i="353" s="1"/>
  <c r="L96" i="353" s="1"/>
  <c r="L97" i="353" s="1"/>
  <c r="L98" i="353" s="1"/>
  <c r="L99" i="353" s="1"/>
  <c r="L100" i="353" s="1"/>
  <c r="L101" i="353" s="1"/>
  <c r="L102" i="353" s="1"/>
  <c r="L103" i="353" s="1"/>
  <c r="L105" i="353" s="1"/>
  <c r="X56" i="353"/>
  <c r="W55" i="352"/>
  <c r="X54" i="352"/>
  <c r="W51" i="351"/>
  <c r="W52" i="351" s="1"/>
  <c r="W53" i="351" s="1"/>
  <c r="X50" i="351"/>
  <c r="W54" i="350"/>
  <c r="X53" i="350"/>
  <c r="W56" i="352" l="1"/>
  <c r="X55" i="352"/>
  <c r="W54" i="351"/>
  <c r="X53" i="351"/>
  <c r="X54" i="350"/>
  <c r="W55" i="350"/>
  <c r="W57" i="352" l="1"/>
  <c r="W58" i="352" s="1"/>
  <c r="W59" i="352" s="1"/>
  <c r="W60" i="352" s="1"/>
  <c r="W61" i="352" s="1"/>
  <c r="W62" i="352" s="1"/>
  <c r="W63" i="352" s="1"/>
  <c r="W64" i="352" s="1"/>
  <c r="W65" i="352" s="1"/>
  <c r="W66" i="352" s="1"/>
  <c r="W67" i="352" s="1"/>
  <c r="W68" i="352" s="1"/>
  <c r="W69" i="352" s="1"/>
  <c r="W70" i="352" s="1"/>
  <c r="W71" i="352" s="1"/>
  <c r="W72" i="352" s="1"/>
  <c r="W73" i="352" s="1"/>
  <c r="W74" i="352" s="1"/>
  <c r="W75" i="352" s="1"/>
  <c r="W76" i="352" s="1"/>
  <c r="W77" i="352" s="1"/>
  <c r="W78" i="352" s="1"/>
  <c r="W79" i="352" s="1"/>
  <c r="W80" i="352" s="1"/>
  <c r="W81" i="352" s="1"/>
  <c r="W82" i="352" s="1"/>
  <c r="W83" i="352" s="1"/>
  <c r="W84" i="352" s="1"/>
  <c r="W85" i="352" s="1"/>
  <c r="W86" i="352" s="1"/>
  <c r="W87" i="352" s="1"/>
  <c r="W88" i="352" s="1"/>
  <c r="W89" i="352" s="1"/>
  <c r="W90" i="352" s="1"/>
  <c r="W91" i="352" s="1"/>
  <c r="W92" i="352" s="1"/>
  <c r="W93" i="352" s="1"/>
  <c r="W94" i="352" s="1"/>
  <c r="W95" i="352" s="1"/>
  <c r="W96" i="352" s="1"/>
  <c r="W97" i="352" s="1"/>
  <c r="W98" i="352" s="1"/>
  <c r="W99" i="352" s="1"/>
  <c r="W100" i="352" s="1"/>
  <c r="W101" i="352" s="1"/>
  <c r="W102" i="352" s="1"/>
  <c r="W103" i="352" s="1"/>
  <c r="W105" i="352" s="1"/>
  <c r="X56" i="352"/>
  <c r="X54" i="351"/>
  <c r="W55" i="351"/>
  <c r="X55" i="350"/>
  <c r="W56" i="350"/>
  <c r="X55" i="351" l="1"/>
  <c r="W56" i="351"/>
  <c r="X56" i="350"/>
  <c r="W57" i="350"/>
  <c r="W58" i="350" s="1"/>
  <c r="W59" i="350" s="1"/>
  <c r="W60" i="350" s="1"/>
  <c r="W61" i="350" s="1"/>
  <c r="W62" i="350" s="1"/>
  <c r="W63" i="350" s="1"/>
  <c r="W64" i="350" s="1"/>
  <c r="W65" i="350" s="1"/>
  <c r="W66" i="350" s="1"/>
  <c r="W67" i="350" s="1"/>
  <c r="W68" i="350" s="1"/>
  <c r="W69" i="350" s="1"/>
  <c r="W70" i="350" s="1"/>
  <c r="W71" i="350" s="1"/>
  <c r="W72" i="350" s="1"/>
  <c r="W73" i="350" s="1"/>
  <c r="W74" i="350" s="1"/>
  <c r="W75" i="350" s="1"/>
  <c r="W76" i="350" s="1"/>
  <c r="W77" i="350" s="1"/>
  <c r="W78" i="350" s="1"/>
  <c r="W79" i="350" s="1"/>
  <c r="W80" i="350" s="1"/>
  <c r="W81" i="350" s="1"/>
  <c r="W82" i="350" s="1"/>
  <c r="W83" i="350" s="1"/>
  <c r="W84" i="350" s="1"/>
  <c r="W85" i="350" s="1"/>
  <c r="W86" i="350" s="1"/>
  <c r="W87" i="350" s="1"/>
  <c r="W88" i="350" s="1"/>
  <c r="W89" i="350" s="1"/>
  <c r="W90" i="350" s="1"/>
  <c r="W91" i="350" s="1"/>
  <c r="W92" i="350" s="1"/>
  <c r="W93" i="350" s="1"/>
  <c r="W94" i="350" s="1"/>
  <c r="W95" i="350" s="1"/>
  <c r="W96" i="350" s="1"/>
  <c r="W97" i="350" s="1"/>
  <c r="W98" i="350" s="1"/>
  <c r="W99" i="350" s="1"/>
  <c r="W100" i="350" s="1"/>
  <c r="W101" i="350" s="1"/>
  <c r="W102" i="350" s="1"/>
  <c r="W103" i="350" s="1"/>
  <c r="W105" i="350" s="1"/>
  <c r="X56" i="351" l="1"/>
  <c r="W57" i="351"/>
  <c r="W58" i="351" s="1"/>
  <c r="W59" i="351" s="1"/>
  <c r="W60" i="351" s="1"/>
  <c r="W61" i="351" s="1"/>
  <c r="W62" i="351" s="1"/>
  <c r="W63" i="351" s="1"/>
  <c r="W64" i="351" s="1"/>
  <c r="W65" i="351" s="1"/>
  <c r="W66" i="351" s="1"/>
  <c r="W67" i="351" s="1"/>
  <c r="W68" i="351" s="1"/>
  <c r="W69" i="351" s="1"/>
  <c r="W70" i="351" s="1"/>
  <c r="W71" i="351" s="1"/>
  <c r="W72" i="351" s="1"/>
  <c r="W73" i="351" s="1"/>
  <c r="W74" i="351" s="1"/>
  <c r="W75" i="351" s="1"/>
  <c r="W76" i="351" s="1"/>
  <c r="W77" i="351" s="1"/>
  <c r="W78" i="351" s="1"/>
  <c r="W79" i="351" s="1"/>
  <c r="W80" i="351" s="1"/>
  <c r="W81" i="351" s="1"/>
  <c r="W82" i="351" s="1"/>
  <c r="W83" i="351" s="1"/>
  <c r="W84" i="351" s="1"/>
  <c r="W85" i="351" s="1"/>
  <c r="W86" i="351" s="1"/>
  <c r="W87" i="351" s="1"/>
  <c r="W88" i="351" s="1"/>
  <c r="W89" i="351" s="1"/>
  <c r="W90" i="351" s="1"/>
  <c r="W91" i="351" s="1"/>
  <c r="W92" i="351" s="1"/>
  <c r="W93" i="351" s="1"/>
  <c r="W94" i="351" s="1"/>
  <c r="W95" i="351" s="1"/>
  <c r="W96" i="351" s="1"/>
  <c r="W97" i="351" s="1"/>
  <c r="W98" i="351" s="1"/>
  <c r="W99" i="351" s="1"/>
  <c r="W100" i="351" s="1"/>
  <c r="W101" i="351" s="1"/>
  <c r="W102" i="351" s="1"/>
  <c r="W103" i="351" s="1"/>
  <c r="W105" i="351" s="1"/>
  <c r="Z8" i="349" l="1"/>
  <c r="AD3" i="349" l="1"/>
  <c r="H7" i="349" l="1"/>
  <c r="I7" i="349"/>
  <c r="U123" i="349"/>
  <c r="I113" i="349"/>
  <c r="P105" i="349"/>
  <c r="M105" i="349"/>
  <c r="J105" i="349"/>
  <c r="U103" i="349"/>
  <c r="T103" i="349"/>
  <c r="S103" i="349"/>
  <c r="V103" i="349" s="1"/>
  <c r="Q103" i="349"/>
  <c r="K103" i="349"/>
  <c r="AA102" i="349"/>
  <c r="U102" i="349"/>
  <c r="T102" i="349"/>
  <c r="S102" i="349"/>
  <c r="Q102" i="349"/>
  <c r="K102" i="349"/>
  <c r="U101" i="349"/>
  <c r="T101" i="349"/>
  <c r="S101" i="349"/>
  <c r="V101" i="349" s="1"/>
  <c r="Q101" i="349"/>
  <c r="K101" i="349"/>
  <c r="AA100" i="349"/>
  <c r="U100" i="349"/>
  <c r="T100" i="349"/>
  <c r="S100" i="349"/>
  <c r="Q100" i="349"/>
  <c r="K100" i="349"/>
  <c r="AA99" i="349"/>
  <c r="U99" i="349"/>
  <c r="T99" i="349"/>
  <c r="S99" i="349"/>
  <c r="Q99" i="349"/>
  <c r="K99" i="349"/>
  <c r="AA98" i="349"/>
  <c r="U98" i="349"/>
  <c r="T98" i="349"/>
  <c r="S98" i="349"/>
  <c r="Q98" i="349"/>
  <c r="K98" i="349"/>
  <c r="U97" i="349"/>
  <c r="T97" i="349"/>
  <c r="S97" i="349"/>
  <c r="Q97" i="349"/>
  <c r="K97" i="349"/>
  <c r="U96" i="349"/>
  <c r="T96" i="349"/>
  <c r="S96" i="349"/>
  <c r="Q96" i="349"/>
  <c r="K96" i="349"/>
  <c r="AA95" i="349"/>
  <c r="U95" i="349"/>
  <c r="T95" i="349"/>
  <c r="S95" i="349"/>
  <c r="Q95" i="349"/>
  <c r="K95" i="349"/>
  <c r="AA94" i="349"/>
  <c r="U94" i="349"/>
  <c r="T94" i="349"/>
  <c r="S94" i="349"/>
  <c r="Q94" i="349"/>
  <c r="K94" i="349"/>
  <c r="AA93" i="349"/>
  <c r="U93" i="349"/>
  <c r="T93" i="349"/>
  <c r="S93" i="349"/>
  <c r="Q93" i="349"/>
  <c r="K93" i="349"/>
  <c r="U92" i="349"/>
  <c r="T92" i="349"/>
  <c r="S92" i="349"/>
  <c r="Q92" i="349"/>
  <c r="K92" i="349"/>
  <c r="U91" i="349"/>
  <c r="T91" i="349"/>
  <c r="S91" i="349"/>
  <c r="Q91" i="349"/>
  <c r="K91" i="349"/>
  <c r="U90" i="349"/>
  <c r="T90" i="349"/>
  <c r="S90" i="349"/>
  <c r="Q90" i="349"/>
  <c r="K90" i="349"/>
  <c r="U89" i="349"/>
  <c r="T89" i="349"/>
  <c r="S89" i="349"/>
  <c r="Q89" i="349"/>
  <c r="K89" i="349"/>
  <c r="U88" i="349"/>
  <c r="T88" i="349"/>
  <c r="S88" i="349"/>
  <c r="Q88" i="349"/>
  <c r="K88" i="349"/>
  <c r="AE87" i="349"/>
  <c r="AA87" i="349"/>
  <c r="Y87" i="349"/>
  <c r="U87" i="349"/>
  <c r="T87" i="349"/>
  <c r="S87" i="349"/>
  <c r="Q87" i="349"/>
  <c r="K87" i="349"/>
  <c r="AF86" i="349"/>
  <c r="AG86" i="349" s="1"/>
  <c r="AH86" i="349" s="1"/>
  <c r="AH87" i="349" s="1"/>
  <c r="AH88" i="349" s="1"/>
  <c r="U86" i="349"/>
  <c r="T86" i="349"/>
  <c r="S86" i="349"/>
  <c r="Q86" i="349"/>
  <c r="K86" i="349"/>
  <c r="U85" i="349"/>
  <c r="T85" i="349"/>
  <c r="S85" i="349"/>
  <c r="Q85" i="349"/>
  <c r="K85" i="349"/>
  <c r="U84" i="349"/>
  <c r="T84" i="349"/>
  <c r="S84" i="349"/>
  <c r="Q84" i="349"/>
  <c r="K84" i="349"/>
  <c r="U83" i="349"/>
  <c r="T83" i="349"/>
  <c r="S83" i="349"/>
  <c r="Q83" i="349"/>
  <c r="K83" i="349"/>
  <c r="U82" i="349"/>
  <c r="T82" i="349"/>
  <c r="S82" i="349"/>
  <c r="Q82" i="349"/>
  <c r="K82" i="349"/>
  <c r="AA81" i="349"/>
  <c r="AA86" i="349" s="1"/>
  <c r="AB86" i="349" s="1"/>
  <c r="AC86" i="349" s="1"/>
  <c r="AD86" i="349" s="1"/>
  <c r="AD87" i="349" s="1"/>
  <c r="AD88" i="349" s="1"/>
  <c r="Z81" i="349"/>
  <c r="U81" i="349"/>
  <c r="T81" i="349"/>
  <c r="S81" i="349"/>
  <c r="Q81" i="349"/>
  <c r="K81" i="349"/>
  <c r="AI80" i="349"/>
  <c r="U80" i="349"/>
  <c r="T80" i="349"/>
  <c r="S80" i="349"/>
  <c r="Q80" i="349"/>
  <c r="K80" i="349"/>
  <c r="AI79" i="349"/>
  <c r="U79" i="349"/>
  <c r="T79" i="349"/>
  <c r="S79" i="349"/>
  <c r="Q79" i="349"/>
  <c r="K79" i="349"/>
  <c r="AI78" i="349"/>
  <c r="U78" i="349"/>
  <c r="T78" i="349"/>
  <c r="S78" i="349"/>
  <c r="Q78" i="349"/>
  <c r="K78" i="349"/>
  <c r="U77" i="349"/>
  <c r="T77" i="349"/>
  <c r="S77" i="349"/>
  <c r="Q77" i="349"/>
  <c r="K77" i="349"/>
  <c r="U76" i="349"/>
  <c r="T76" i="349"/>
  <c r="S76" i="349"/>
  <c r="Q76" i="349"/>
  <c r="K76" i="349"/>
  <c r="U75" i="349"/>
  <c r="T75" i="349"/>
  <c r="S75" i="349"/>
  <c r="Q75" i="349"/>
  <c r="K75" i="349"/>
  <c r="U74" i="349"/>
  <c r="T74" i="349"/>
  <c r="S74" i="349"/>
  <c r="Q74" i="349"/>
  <c r="K74" i="349"/>
  <c r="AD73" i="349"/>
  <c r="Z73" i="349"/>
  <c r="U73" i="349"/>
  <c r="T73" i="349"/>
  <c r="S73" i="349"/>
  <c r="Q73" i="349"/>
  <c r="K73" i="349"/>
  <c r="Z72" i="349"/>
  <c r="U72" i="349"/>
  <c r="T72" i="349"/>
  <c r="S72" i="349"/>
  <c r="Q72" i="349"/>
  <c r="K72" i="349"/>
  <c r="U71" i="349"/>
  <c r="T71" i="349"/>
  <c r="S71" i="349"/>
  <c r="Q71" i="349"/>
  <c r="K71" i="349"/>
  <c r="U70" i="349"/>
  <c r="T70" i="349"/>
  <c r="S70" i="349"/>
  <c r="Q70" i="349"/>
  <c r="K70" i="349"/>
  <c r="U69" i="349"/>
  <c r="T69" i="349"/>
  <c r="S69" i="349"/>
  <c r="Q69" i="349"/>
  <c r="K69" i="349"/>
  <c r="U68" i="349"/>
  <c r="T68" i="349"/>
  <c r="S68" i="349"/>
  <c r="Q68" i="349"/>
  <c r="K68" i="349"/>
  <c r="AA67" i="349"/>
  <c r="U67" i="349"/>
  <c r="T67" i="349"/>
  <c r="S67" i="349"/>
  <c r="Q67" i="349"/>
  <c r="K67" i="349"/>
  <c r="U66" i="349"/>
  <c r="T66" i="349"/>
  <c r="S66" i="349"/>
  <c r="Q66" i="349"/>
  <c r="K66" i="349"/>
  <c r="U65" i="349"/>
  <c r="T65" i="349"/>
  <c r="S65" i="349"/>
  <c r="Q65" i="349"/>
  <c r="K65" i="349"/>
  <c r="U64" i="349"/>
  <c r="T64" i="349"/>
  <c r="S64" i="349"/>
  <c r="Q64" i="349"/>
  <c r="K64" i="349"/>
  <c r="U63" i="349"/>
  <c r="T63" i="349"/>
  <c r="S63" i="349"/>
  <c r="Q63" i="349"/>
  <c r="K63" i="349"/>
  <c r="AC62" i="349"/>
  <c r="U62" i="349"/>
  <c r="T62" i="349"/>
  <c r="S62" i="349"/>
  <c r="Q62" i="349"/>
  <c r="K62" i="349"/>
  <c r="U61" i="349"/>
  <c r="T61" i="349"/>
  <c r="S61" i="349"/>
  <c r="Q61" i="349"/>
  <c r="K61" i="349"/>
  <c r="AA60" i="349"/>
  <c r="AC80" i="349" s="1"/>
  <c r="U60" i="349"/>
  <c r="T60" i="349"/>
  <c r="S60" i="349"/>
  <c r="Q60" i="349"/>
  <c r="K60" i="349"/>
  <c r="AB59" i="349"/>
  <c r="AA59" i="349"/>
  <c r="AC79" i="349" s="1"/>
  <c r="U59" i="349"/>
  <c r="T59" i="349"/>
  <c r="S59" i="349"/>
  <c r="Q59" i="349"/>
  <c r="K59" i="349"/>
  <c r="AM58" i="349"/>
  <c r="AB58" i="349"/>
  <c r="AA58" i="349"/>
  <c r="AC78" i="349" s="1"/>
  <c r="U58" i="349"/>
  <c r="T58" i="349"/>
  <c r="S58" i="349"/>
  <c r="Q58" i="349"/>
  <c r="K58" i="349"/>
  <c r="U57" i="349"/>
  <c r="T57" i="349"/>
  <c r="S57" i="349"/>
  <c r="Q57" i="349"/>
  <c r="K57" i="349"/>
  <c r="U56" i="349"/>
  <c r="T56" i="349"/>
  <c r="S56" i="349"/>
  <c r="Q56" i="349"/>
  <c r="K56" i="349"/>
  <c r="Y55" i="349"/>
  <c r="U55" i="349"/>
  <c r="T55" i="349"/>
  <c r="S55" i="349"/>
  <c r="Q55" i="349"/>
  <c r="K55" i="349"/>
  <c r="U54" i="349"/>
  <c r="T54" i="349"/>
  <c r="S54" i="349"/>
  <c r="Q54" i="349"/>
  <c r="K54" i="349"/>
  <c r="Y53" i="349"/>
  <c r="U53" i="349"/>
  <c r="Q53" i="349"/>
  <c r="S53" i="349" s="1"/>
  <c r="K53" i="349"/>
  <c r="U52" i="349"/>
  <c r="T52" i="349"/>
  <c r="S52" i="349"/>
  <c r="Q52" i="349"/>
  <c r="K52" i="349"/>
  <c r="Y51" i="349"/>
  <c r="U51" i="349"/>
  <c r="S51" i="349"/>
  <c r="Q51" i="349"/>
  <c r="T51" i="349" s="1"/>
  <c r="K51" i="349"/>
  <c r="AB50" i="349"/>
  <c r="U50" i="349"/>
  <c r="T50" i="349"/>
  <c r="S50" i="349"/>
  <c r="Q50" i="349"/>
  <c r="K50" i="349"/>
  <c r="Y49" i="349"/>
  <c r="Z49" i="349" s="1"/>
  <c r="U49" i="349"/>
  <c r="T49" i="349"/>
  <c r="S49" i="349"/>
  <c r="Q49" i="349"/>
  <c r="K49" i="349"/>
  <c r="Y48" i="349"/>
  <c r="Z48" i="349" s="1"/>
  <c r="U48" i="349"/>
  <c r="T48" i="349"/>
  <c r="S48" i="349"/>
  <c r="Q48" i="349"/>
  <c r="K48" i="349"/>
  <c r="U47" i="349"/>
  <c r="T47" i="349"/>
  <c r="S47" i="349"/>
  <c r="Q47" i="349"/>
  <c r="K47" i="349"/>
  <c r="U46" i="349"/>
  <c r="T46" i="349"/>
  <c r="Q46" i="349"/>
  <c r="S46" i="349" s="1"/>
  <c r="K46" i="349"/>
  <c r="AB45" i="349"/>
  <c r="AA45" i="349"/>
  <c r="U45" i="349"/>
  <c r="T45" i="349"/>
  <c r="S45" i="349"/>
  <c r="Q45" i="349"/>
  <c r="K45" i="349"/>
  <c r="AB44" i="349"/>
  <c r="AA44" i="349"/>
  <c r="U44" i="349"/>
  <c r="T44" i="349"/>
  <c r="S44" i="349"/>
  <c r="Q44" i="349"/>
  <c r="K44" i="349"/>
  <c r="AB43" i="349"/>
  <c r="AA43" i="349"/>
  <c r="U43" i="349"/>
  <c r="T43" i="349"/>
  <c r="S43" i="349"/>
  <c r="Q43" i="349"/>
  <c r="K43" i="349"/>
  <c r="U42" i="349"/>
  <c r="T42" i="349"/>
  <c r="Q42" i="349"/>
  <c r="S42" i="349" s="1"/>
  <c r="K42" i="349"/>
  <c r="U41" i="349"/>
  <c r="T41" i="349"/>
  <c r="S41" i="349"/>
  <c r="Q41" i="349"/>
  <c r="K41" i="349"/>
  <c r="U40" i="349"/>
  <c r="T40" i="349"/>
  <c r="S40" i="349"/>
  <c r="K40" i="349"/>
  <c r="U39" i="349"/>
  <c r="T39" i="349"/>
  <c r="S39" i="349"/>
  <c r="Q39" i="349"/>
  <c r="K39" i="349"/>
  <c r="U38" i="349"/>
  <c r="T38" i="349"/>
  <c r="Q38" i="349"/>
  <c r="S38" i="349" s="1"/>
  <c r="K38" i="349"/>
  <c r="U37" i="349"/>
  <c r="T37" i="349"/>
  <c r="S37" i="349"/>
  <c r="Q37" i="349"/>
  <c r="K37" i="349"/>
  <c r="Z36" i="349"/>
  <c r="AA36" i="349" s="1"/>
  <c r="AB36" i="349" s="1"/>
  <c r="U36" i="349"/>
  <c r="T36" i="349"/>
  <c r="S36" i="349"/>
  <c r="Q36" i="349"/>
  <c r="K36" i="349"/>
  <c r="Z35" i="349"/>
  <c r="U35" i="349"/>
  <c r="T35" i="349"/>
  <c r="S35" i="349"/>
  <c r="Q35" i="349"/>
  <c r="K35" i="349"/>
  <c r="AC34" i="349"/>
  <c r="AC36" i="349" s="1"/>
  <c r="U34" i="349"/>
  <c r="T34" i="349"/>
  <c r="S34" i="349"/>
  <c r="Q34" i="349"/>
  <c r="K34" i="349"/>
  <c r="U33" i="349"/>
  <c r="T33" i="349"/>
  <c r="S33" i="349"/>
  <c r="Q33" i="349"/>
  <c r="K33" i="349"/>
  <c r="U32" i="349"/>
  <c r="T32" i="349"/>
  <c r="S32" i="349"/>
  <c r="Q32" i="349"/>
  <c r="K32" i="349"/>
  <c r="U31" i="349"/>
  <c r="T31" i="349"/>
  <c r="S31" i="349"/>
  <c r="Q31" i="349"/>
  <c r="K31" i="349"/>
  <c r="Z30" i="349"/>
  <c r="U30" i="349"/>
  <c r="T30" i="349"/>
  <c r="S30" i="349"/>
  <c r="Q30" i="349"/>
  <c r="K30" i="349"/>
  <c r="U29" i="349"/>
  <c r="T29" i="349"/>
  <c r="S29" i="349"/>
  <c r="Q29" i="349"/>
  <c r="K29" i="349"/>
  <c r="U28" i="349"/>
  <c r="T28" i="349"/>
  <c r="S28" i="349"/>
  <c r="Q28" i="349"/>
  <c r="K28" i="349"/>
  <c r="U27" i="349"/>
  <c r="T27" i="349"/>
  <c r="S27" i="349"/>
  <c r="Q27" i="349"/>
  <c r="K27" i="349"/>
  <c r="T26" i="349"/>
  <c r="S26" i="349"/>
  <c r="Q26" i="349"/>
  <c r="U26" i="349" s="1"/>
  <c r="K26" i="349"/>
  <c r="U25" i="349"/>
  <c r="T25" i="349"/>
  <c r="Q25" i="349"/>
  <c r="S25" i="349" s="1"/>
  <c r="K25" i="349"/>
  <c r="U24" i="349"/>
  <c r="T24" i="349"/>
  <c r="S24" i="349"/>
  <c r="Q24" i="349"/>
  <c r="K24" i="349"/>
  <c r="U23" i="349"/>
  <c r="T23" i="349"/>
  <c r="S23" i="349"/>
  <c r="Q23" i="349"/>
  <c r="K23" i="349"/>
  <c r="U22" i="349"/>
  <c r="Q22" i="349"/>
  <c r="S22" i="349" s="1"/>
  <c r="K22" i="349"/>
  <c r="U21" i="349"/>
  <c r="T21" i="349"/>
  <c r="S21" i="349"/>
  <c r="Q21" i="349"/>
  <c r="K21" i="349"/>
  <c r="U20" i="349"/>
  <c r="T20" i="349"/>
  <c r="Q20" i="349"/>
  <c r="S20" i="349" s="1"/>
  <c r="K20" i="349"/>
  <c r="U19" i="349"/>
  <c r="T19" i="349"/>
  <c r="Q19" i="349"/>
  <c r="S19" i="349" s="1"/>
  <c r="K19" i="349"/>
  <c r="U18" i="349"/>
  <c r="S18" i="349"/>
  <c r="AB99" i="349" s="1"/>
  <c r="Q18" i="349"/>
  <c r="T18" i="349" s="1"/>
  <c r="K18" i="349"/>
  <c r="U17" i="349"/>
  <c r="S17" i="349"/>
  <c r="Q17" i="349"/>
  <c r="T17" i="349" s="1"/>
  <c r="K17" i="349"/>
  <c r="U16" i="349"/>
  <c r="T16" i="349"/>
  <c r="S16" i="349"/>
  <c r="K16" i="349"/>
  <c r="Z15" i="349"/>
  <c r="U15" i="349"/>
  <c r="T15" i="349"/>
  <c r="Q15" i="349"/>
  <c r="S15" i="349" s="1"/>
  <c r="K15" i="349"/>
  <c r="U14" i="349"/>
  <c r="T14" i="349"/>
  <c r="Q14" i="349"/>
  <c r="S14" i="349" s="1"/>
  <c r="K14" i="349"/>
  <c r="U13" i="349"/>
  <c r="T13" i="349"/>
  <c r="Q13" i="349"/>
  <c r="S13" i="349" s="1"/>
  <c r="K13" i="349"/>
  <c r="AC12" i="349"/>
  <c r="AB12" i="349"/>
  <c r="AA12" i="349"/>
  <c r="U12" i="349"/>
  <c r="T12" i="349"/>
  <c r="Q12" i="349"/>
  <c r="S12" i="349" s="1"/>
  <c r="K12" i="349"/>
  <c r="AA11" i="349"/>
  <c r="U11" i="349"/>
  <c r="T11" i="349"/>
  <c r="Q11" i="349"/>
  <c r="S11" i="349" s="1"/>
  <c r="K11" i="349"/>
  <c r="AB10" i="349"/>
  <c r="AC61" i="349" s="1"/>
  <c r="U10" i="349"/>
  <c r="Q10" i="349"/>
  <c r="T10" i="349" s="1"/>
  <c r="K10" i="349"/>
  <c r="AA9" i="349"/>
  <c r="U9" i="349"/>
  <c r="Q9" i="349"/>
  <c r="K9" i="349"/>
  <c r="U8" i="349"/>
  <c r="T8" i="349"/>
  <c r="Q8" i="349"/>
  <c r="S8" i="349" s="1"/>
  <c r="K8" i="349"/>
  <c r="Z7" i="349"/>
  <c r="U7" i="349"/>
  <c r="Q7" i="349"/>
  <c r="S7" i="349" s="1"/>
  <c r="K7" i="349"/>
  <c r="Z6" i="349"/>
  <c r="U6" i="349"/>
  <c r="T6" i="349"/>
  <c r="Q6" i="349"/>
  <c r="S6" i="349" s="1"/>
  <c r="K6" i="349"/>
  <c r="U5" i="349"/>
  <c r="S5" i="349"/>
  <c r="Q5" i="349"/>
  <c r="T5" i="349" s="1"/>
  <c r="K5" i="349"/>
  <c r="U4" i="349"/>
  <c r="S4" i="349"/>
  <c r="Q4" i="349"/>
  <c r="T4" i="349" s="1"/>
  <c r="K4" i="349"/>
  <c r="AE3" i="349"/>
  <c r="U3" i="349"/>
  <c r="S3" i="349"/>
  <c r="Q3" i="349"/>
  <c r="T3" i="349" s="1"/>
  <c r="K3" i="349"/>
  <c r="U2" i="349"/>
  <c r="T2" i="349"/>
  <c r="Q2" i="349"/>
  <c r="K2" i="349"/>
  <c r="V88" i="349" l="1"/>
  <c r="V90" i="349"/>
  <c r="V35" i="349"/>
  <c r="AC45" i="349"/>
  <c r="V62" i="349"/>
  <c r="V65" i="349"/>
  <c r="V87" i="349"/>
  <c r="V99" i="349"/>
  <c r="V59" i="349"/>
  <c r="V60" i="349"/>
  <c r="V64" i="349"/>
  <c r="V82" i="349"/>
  <c r="Z37" i="349"/>
  <c r="V86" i="349"/>
  <c r="Z16" i="349"/>
  <c r="AA16" i="349" s="1"/>
  <c r="V23" i="349"/>
  <c r="AB102" i="349"/>
  <c r="V51" i="349"/>
  <c r="V80" i="349"/>
  <c r="V97" i="349"/>
  <c r="V21" i="349"/>
  <c r="AC44" i="349"/>
  <c r="V78" i="349"/>
  <c r="V92" i="349"/>
  <c r="V95" i="349"/>
  <c r="T53" i="349"/>
  <c r="AB93" i="349" s="1"/>
  <c r="AD34" i="349"/>
  <c r="AD35" i="349" s="1"/>
  <c r="V57" i="349"/>
  <c r="V76" i="349"/>
  <c r="V40" i="349"/>
  <c r="V91" i="349"/>
  <c r="V94" i="349"/>
  <c r="V98" i="349"/>
  <c r="AC35" i="349"/>
  <c r="AC37" i="349" s="1"/>
  <c r="V71" i="349"/>
  <c r="V84" i="349"/>
  <c r="X84" i="349" s="1"/>
  <c r="V38" i="349"/>
  <c r="V47" i="349"/>
  <c r="V56" i="349"/>
  <c r="V61" i="349"/>
  <c r="V66" i="349"/>
  <c r="V70" i="349"/>
  <c r="V74" i="349"/>
  <c r="V81" i="349"/>
  <c r="V83" i="349"/>
  <c r="V89" i="349"/>
  <c r="V96" i="349"/>
  <c r="V102" i="349"/>
  <c r="AA61" i="349"/>
  <c r="V52" i="349"/>
  <c r="V20" i="349"/>
  <c r="V27" i="349"/>
  <c r="V41" i="349"/>
  <c r="V42" i="349"/>
  <c r="V44" i="349"/>
  <c r="V45" i="349"/>
  <c r="V50" i="349"/>
  <c r="V32" i="349"/>
  <c r="V34" i="349"/>
  <c r="V33" i="349"/>
  <c r="V54" i="349"/>
  <c r="V30" i="349"/>
  <c r="V31" i="349"/>
  <c r="V43" i="349"/>
  <c r="V39" i="349"/>
  <c r="V49" i="349"/>
  <c r="V55" i="349"/>
  <c r="V14" i="349"/>
  <c r="V15" i="349"/>
  <c r="T7" i="349"/>
  <c r="V7" i="349" s="1"/>
  <c r="V18" i="349"/>
  <c r="V12" i="349"/>
  <c r="V24" i="349"/>
  <c r="V28" i="349"/>
  <c r="Q105" i="349"/>
  <c r="V5" i="349"/>
  <c r="V17" i="349"/>
  <c r="V29" i="349"/>
  <c r="S10" i="349"/>
  <c r="V10" i="349" s="1"/>
  <c r="V19" i="349"/>
  <c r="V11" i="349"/>
  <c r="V13" i="349"/>
  <c r="V16" i="349"/>
  <c r="N27" i="349"/>
  <c r="O34" i="349" s="1"/>
  <c r="AB94" i="349"/>
  <c r="K105" i="349"/>
  <c r="K108" i="349" s="1"/>
  <c r="K110" i="349" s="1"/>
  <c r="N2" i="349"/>
  <c r="O12" i="349" s="1"/>
  <c r="V8" i="349"/>
  <c r="R54" i="349"/>
  <c r="R50" i="349"/>
  <c r="O53" i="349"/>
  <c r="AC58" i="349"/>
  <c r="S2" i="349"/>
  <c r="S9" i="349"/>
  <c r="T9" i="349"/>
  <c r="V3" i="349"/>
  <c r="V4" i="349"/>
  <c r="V6" i="349"/>
  <c r="AB98" i="349"/>
  <c r="V25" i="349"/>
  <c r="V26" i="349"/>
  <c r="AA68" i="349"/>
  <c r="AA62" i="349"/>
  <c r="H105" i="349"/>
  <c r="AA42" i="349"/>
  <c r="AA69" i="349"/>
  <c r="U105" i="349"/>
  <c r="I105" i="349"/>
  <c r="AA92" i="349"/>
  <c r="Z10" i="349"/>
  <c r="AA15" i="349"/>
  <c r="T22" i="349"/>
  <c r="V22" i="349" s="1"/>
  <c r="V37" i="349"/>
  <c r="V46" i="349"/>
  <c r="AB47" i="349"/>
  <c r="V48" i="349"/>
  <c r="R52" i="349"/>
  <c r="N56" i="349"/>
  <c r="O57" i="349" s="1"/>
  <c r="V58" i="349"/>
  <c r="AB61" i="349"/>
  <c r="V69" i="349"/>
  <c r="V85" i="349"/>
  <c r="V36" i="349"/>
  <c r="AB42" i="349"/>
  <c r="N50" i="349"/>
  <c r="AC81" i="349"/>
  <c r="N81" i="349"/>
  <c r="O82" i="349" s="1"/>
  <c r="AA97" i="349"/>
  <c r="V100" i="349"/>
  <c r="AC43" i="349"/>
  <c r="V63" i="349"/>
  <c r="V67" i="349"/>
  <c r="V68" i="349"/>
  <c r="V72" i="349"/>
  <c r="V73" i="349"/>
  <c r="V75" i="349"/>
  <c r="V77" i="349"/>
  <c r="V79" i="349"/>
  <c r="N85" i="349"/>
  <c r="V93" i="349"/>
  <c r="N94" i="349"/>
  <c r="AB62" i="349"/>
  <c r="AD3" i="348"/>
  <c r="U123" i="348"/>
  <c r="I113" i="348"/>
  <c r="P105" i="348"/>
  <c r="M105" i="348"/>
  <c r="J105" i="348"/>
  <c r="U103" i="348"/>
  <c r="T103" i="348"/>
  <c r="S103" i="348"/>
  <c r="Q103" i="348"/>
  <c r="K103" i="348"/>
  <c r="AA102" i="348"/>
  <c r="U102" i="348"/>
  <c r="T102" i="348"/>
  <c r="S102" i="348"/>
  <c r="V102" i="348" s="1"/>
  <c r="Q102" i="348"/>
  <c r="K102" i="348"/>
  <c r="U101" i="348"/>
  <c r="T101" i="348"/>
  <c r="S101" i="348"/>
  <c r="V101" i="348" s="1"/>
  <c r="Q101" i="348"/>
  <c r="K101" i="348"/>
  <c r="AA100" i="348"/>
  <c r="V100" i="348"/>
  <c r="U100" i="348"/>
  <c r="T100" i="348"/>
  <c r="S100" i="348"/>
  <c r="Q100" i="348"/>
  <c r="K100" i="348"/>
  <c r="AA99" i="348"/>
  <c r="V99" i="348"/>
  <c r="U99" i="348"/>
  <c r="T99" i="348"/>
  <c r="S99" i="348"/>
  <c r="Q99" i="348"/>
  <c r="K99" i="348"/>
  <c r="AA98" i="348"/>
  <c r="U98" i="348"/>
  <c r="T98" i="348"/>
  <c r="V98" i="348" s="1"/>
  <c r="S98" i="348"/>
  <c r="Q98" i="348"/>
  <c r="K98" i="348"/>
  <c r="U97" i="348"/>
  <c r="T97" i="348"/>
  <c r="S97" i="348"/>
  <c r="V97" i="348" s="1"/>
  <c r="Q97" i="348"/>
  <c r="K97" i="348"/>
  <c r="U96" i="348"/>
  <c r="T96" i="348"/>
  <c r="S96" i="348"/>
  <c r="Q96" i="348"/>
  <c r="K96" i="348"/>
  <c r="AA95" i="348"/>
  <c r="U95" i="348"/>
  <c r="T95" i="348"/>
  <c r="S95" i="348"/>
  <c r="Q95" i="348"/>
  <c r="K95" i="348"/>
  <c r="AA94" i="348"/>
  <c r="U94" i="348"/>
  <c r="T94" i="348"/>
  <c r="S94" i="348"/>
  <c r="V94" i="348" s="1"/>
  <c r="Q94" i="348"/>
  <c r="K94" i="348"/>
  <c r="AA93" i="348"/>
  <c r="V93" i="348"/>
  <c r="U93" i="348"/>
  <c r="T93" i="348"/>
  <c r="S93" i="348"/>
  <c r="Q93" i="348"/>
  <c r="K93" i="348"/>
  <c r="U92" i="348"/>
  <c r="V92" i="348" s="1"/>
  <c r="T92" i="348"/>
  <c r="S92" i="348"/>
  <c r="Q92" i="348"/>
  <c r="K92" i="348"/>
  <c r="U91" i="348"/>
  <c r="T91" i="348"/>
  <c r="S91" i="348"/>
  <c r="V91" i="348" s="1"/>
  <c r="Q91" i="348"/>
  <c r="K91" i="348"/>
  <c r="U90" i="348"/>
  <c r="T90" i="348"/>
  <c r="S90" i="348"/>
  <c r="V90" i="348" s="1"/>
  <c r="Q90" i="348"/>
  <c r="K90" i="348"/>
  <c r="U89" i="348"/>
  <c r="T89" i="348"/>
  <c r="S89" i="348"/>
  <c r="Q89" i="348"/>
  <c r="K89" i="348"/>
  <c r="U88" i="348"/>
  <c r="T88" i="348"/>
  <c r="S88" i="348"/>
  <c r="Q88" i="348"/>
  <c r="K88" i="348"/>
  <c r="AE87" i="348"/>
  <c r="AF86" i="348" s="1"/>
  <c r="AA87" i="348"/>
  <c r="Y87" i="348"/>
  <c r="U87" i="348"/>
  <c r="V87" i="348" s="1"/>
  <c r="T87" i="348"/>
  <c r="S87" i="348"/>
  <c r="Q87" i="348"/>
  <c r="K87" i="348"/>
  <c r="AH86" i="348"/>
  <c r="AH87" i="348" s="1"/>
  <c r="AH88" i="348" s="1"/>
  <c r="AG86" i="348"/>
  <c r="V86" i="348"/>
  <c r="U86" i="348"/>
  <c r="T86" i="348"/>
  <c r="S86" i="348"/>
  <c r="Q86" i="348"/>
  <c r="K86" i="348"/>
  <c r="V85" i="348"/>
  <c r="U85" i="348"/>
  <c r="T85" i="348"/>
  <c r="S85" i="348"/>
  <c r="Q85" i="348"/>
  <c r="K85" i="348"/>
  <c r="U84" i="348"/>
  <c r="V84" i="348" s="1"/>
  <c r="X84" i="348" s="1"/>
  <c r="T84" i="348"/>
  <c r="S84" i="348"/>
  <c r="Q84" i="348"/>
  <c r="O84" i="348"/>
  <c r="K84" i="348"/>
  <c r="U83" i="348"/>
  <c r="T83" i="348"/>
  <c r="S83" i="348"/>
  <c r="V83" i="348" s="1"/>
  <c r="Q83" i="348"/>
  <c r="K83" i="348"/>
  <c r="U82" i="348"/>
  <c r="T82" i="348"/>
  <c r="S82" i="348"/>
  <c r="Q82" i="348"/>
  <c r="O82" i="348"/>
  <c r="K82" i="348"/>
  <c r="AA81" i="348"/>
  <c r="AA86" i="348" s="1"/>
  <c r="AB86" i="348" s="1"/>
  <c r="AC86" i="348" s="1"/>
  <c r="AD86" i="348" s="1"/>
  <c r="AD87" i="348" s="1"/>
  <c r="AD88" i="348" s="1"/>
  <c r="Z81" i="348"/>
  <c r="U81" i="348"/>
  <c r="T81" i="348"/>
  <c r="S81" i="348"/>
  <c r="V81" i="348" s="1"/>
  <c r="Q81" i="348"/>
  <c r="O81" i="348"/>
  <c r="N81" i="348"/>
  <c r="K81" i="348"/>
  <c r="AI80" i="348"/>
  <c r="U80" i="348"/>
  <c r="T80" i="348"/>
  <c r="S80" i="348"/>
  <c r="V80" i="348" s="1"/>
  <c r="Q80" i="348"/>
  <c r="K80" i="348"/>
  <c r="AI79" i="348"/>
  <c r="V79" i="348"/>
  <c r="U79" i="348"/>
  <c r="T79" i="348"/>
  <c r="S79" i="348"/>
  <c r="Q79" i="348"/>
  <c r="K79" i="348"/>
  <c r="AI78" i="348"/>
  <c r="AC78" i="348"/>
  <c r="V78" i="348"/>
  <c r="U78" i="348"/>
  <c r="T78" i="348"/>
  <c r="S78" i="348"/>
  <c r="Q78" i="348"/>
  <c r="K78" i="348"/>
  <c r="V77" i="348"/>
  <c r="U77" i="348"/>
  <c r="T77" i="348"/>
  <c r="S77" i="348"/>
  <c r="Q77" i="348"/>
  <c r="K77" i="348"/>
  <c r="U76" i="348"/>
  <c r="T76" i="348"/>
  <c r="S76" i="348"/>
  <c r="Q76" i="348"/>
  <c r="K76" i="348"/>
  <c r="U75" i="348"/>
  <c r="T75" i="348"/>
  <c r="S75" i="348"/>
  <c r="V75" i="348" s="1"/>
  <c r="Q75" i="348"/>
  <c r="K75" i="348"/>
  <c r="U74" i="348"/>
  <c r="T74" i="348"/>
  <c r="S74" i="348"/>
  <c r="Q74" i="348"/>
  <c r="K74" i="348"/>
  <c r="AD73" i="348"/>
  <c r="Z73" i="348"/>
  <c r="U73" i="348"/>
  <c r="T73" i="348"/>
  <c r="S73" i="348"/>
  <c r="Q73" i="348"/>
  <c r="K73" i="348"/>
  <c r="Z72" i="348"/>
  <c r="U72" i="348"/>
  <c r="T72" i="348"/>
  <c r="S72" i="348"/>
  <c r="Q72" i="348"/>
  <c r="K72" i="348"/>
  <c r="U71" i="348"/>
  <c r="V71" i="348" s="1"/>
  <c r="T71" i="348"/>
  <c r="S71" i="348"/>
  <c r="Q71" i="348"/>
  <c r="K71" i="348"/>
  <c r="U70" i="348"/>
  <c r="T70" i="348"/>
  <c r="V70" i="348" s="1"/>
  <c r="S70" i="348"/>
  <c r="Q70" i="348"/>
  <c r="K70" i="348"/>
  <c r="V69" i="348"/>
  <c r="U69" i="348"/>
  <c r="T69" i="348"/>
  <c r="S69" i="348"/>
  <c r="Q69" i="348"/>
  <c r="K69" i="348"/>
  <c r="U68" i="348"/>
  <c r="T68" i="348"/>
  <c r="S68" i="348"/>
  <c r="V68" i="348" s="1"/>
  <c r="Q68" i="348"/>
  <c r="K68" i="348"/>
  <c r="AA67" i="348"/>
  <c r="U67" i="348"/>
  <c r="T67" i="348"/>
  <c r="V67" i="348" s="1"/>
  <c r="S67" i="348"/>
  <c r="Q67" i="348"/>
  <c r="K67" i="348"/>
  <c r="U66" i="348"/>
  <c r="T66" i="348"/>
  <c r="S66" i="348"/>
  <c r="V66" i="348" s="1"/>
  <c r="Q66" i="348"/>
  <c r="K66" i="348"/>
  <c r="U65" i="348"/>
  <c r="T65" i="348"/>
  <c r="S65" i="348"/>
  <c r="Q65" i="348"/>
  <c r="K65" i="348"/>
  <c r="U64" i="348"/>
  <c r="T64" i="348"/>
  <c r="S64" i="348"/>
  <c r="Q64" i="348"/>
  <c r="K64" i="348"/>
  <c r="U63" i="348"/>
  <c r="T63" i="348"/>
  <c r="V63" i="348" s="1"/>
  <c r="S63" i="348"/>
  <c r="Q63" i="348"/>
  <c r="K63" i="348"/>
  <c r="AC62" i="348"/>
  <c r="U62" i="348"/>
  <c r="T62" i="348"/>
  <c r="S62" i="348"/>
  <c r="V62" i="348" s="1"/>
  <c r="Q62" i="348"/>
  <c r="K62" i="348"/>
  <c r="U61" i="348"/>
  <c r="T61" i="348"/>
  <c r="V61" i="348" s="1"/>
  <c r="S61" i="348"/>
  <c r="Q61" i="348"/>
  <c r="K61" i="348"/>
  <c r="V60" i="348"/>
  <c r="U60" i="348"/>
  <c r="T60" i="348"/>
  <c r="S60" i="348"/>
  <c r="Q60" i="348"/>
  <c r="K60" i="348"/>
  <c r="AB59" i="348"/>
  <c r="AA59" i="348"/>
  <c r="AC79" i="348" s="1"/>
  <c r="U59" i="348"/>
  <c r="T59" i="348"/>
  <c r="S59" i="348"/>
  <c r="V59" i="348" s="1"/>
  <c r="Q59" i="348"/>
  <c r="K59" i="348"/>
  <c r="AM58" i="348"/>
  <c r="AB58" i="348"/>
  <c r="AA58" i="348"/>
  <c r="U58" i="348"/>
  <c r="V58" i="348" s="1"/>
  <c r="T58" i="348"/>
  <c r="S58" i="348"/>
  <c r="Q58" i="348"/>
  <c r="K58" i="348"/>
  <c r="U57" i="348"/>
  <c r="T57" i="348"/>
  <c r="S57" i="348"/>
  <c r="V57" i="348" s="1"/>
  <c r="Q57" i="348"/>
  <c r="K57" i="348"/>
  <c r="U56" i="348"/>
  <c r="T56" i="348"/>
  <c r="S56" i="348"/>
  <c r="Q56" i="348"/>
  <c r="K56" i="348"/>
  <c r="Y55" i="348"/>
  <c r="U55" i="348"/>
  <c r="T55" i="348"/>
  <c r="S55" i="348"/>
  <c r="Q55" i="348"/>
  <c r="K55" i="348"/>
  <c r="V54" i="348"/>
  <c r="U54" i="348"/>
  <c r="T54" i="348"/>
  <c r="S54" i="348"/>
  <c r="R54" i="348"/>
  <c r="Q54" i="348"/>
  <c r="K54" i="348"/>
  <c r="Y53" i="348"/>
  <c r="U53" i="348"/>
  <c r="T53" i="348"/>
  <c r="Q53" i="348"/>
  <c r="S53" i="348" s="1"/>
  <c r="V53" i="348" s="1"/>
  <c r="K53" i="348"/>
  <c r="U52" i="348"/>
  <c r="T52" i="348"/>
  <c r="S52" i="348"/>
  <c r="V52" i="348" s="1"/>
  <c r="Q52" i="348"/>
  <c r="K52" i="348"/>
  <c r="Y51" i="348"/>
  <c r="U51" i="348"/>
  <c r="S51" i="348"/>
  <c r="V51" i="348" s="1"/>
  <c r="Q51" i="348"/>
  <c r="T51" i="348" s="1"/>
  <c r="K51" i="348"/>
  <c r="AB50" i="348"/>
  <c r="U50" i="348"/>
  <c r="T50" i="348"/>
  <c r="S50" i="348"/>
  <c r="V50" i="348" s="1"/>
  <c r="Q50" i="348"/>
  <c r="N50" i="348"/>
  <c r="K50" i="348"/>
  <c r="Z49" i="348"/>
  <c r="Y49" i="348"/>
  <c r="U49" i="348"/>
  <c r="T49" i="348"/>
  <c r="S49" i="348"/>
  <c r="V49" i="348" s="1"/>
  <c r="Q49" i="348"/>
  <c r="K49" i="348"/>
  <c r="Z48" i="348"/>
  <c r="Y48" i="348"/>
  <c r="V48" i="348"/>
  <c r="U48" i="348"/>
  <c r="T48" i="348"/>
  <c r="S48" i="348"/>
  <c r="Q48" i="348"/>
  <c r="K48" i="348"/>
  <c r="V47" i="348"/>
  <c r="U47" i="348"/>
  <c r="T47" i="348"/>
  <c r="S47" i="348"/>
  <c r="Q47" i="348"/>
  <c r="K47" i="348"/>
  <c r="V46" i="348"/>
  <c r="U46" i="348"/>
  <c r="T46" i="348"/>
  <c r="Q46" i="348"/>
  <c r="S46" i="348" s="1"/>
  <c r="K46" i="348"/>
  <c r="AB45" i="348"/>
  <c r="AA45" i="348"/>
  <c r="AC45" i="348" s="1"/>
  <c r="U45" i="348"/>
  <c r="T45" i="348"/>
  <c r="S45" i="348"/>
  <c r="Q45" i="348"/>
  <c r="K45" i="348"/>
  <c r="AB44" i="348"/>
  <c r="AA44" i="348"/>
  <c r="AC44" i="348" s="1"/>
  <c r="U44" i="348"/>
  <c r="T44" i="348"/>
  <c r="V44" i="348" s="1"/>
  <c r="S44" i="348"/>
  <c r="Q44" i="348"/>
  <c r="K44" i="348"/>
  <c r="AB43" i="348"/>
  <c r="AA43" i="348"/>
  <c r="AC43" i="348" s="1"/>
  <c r="U43" i="348"/>
  <c r="T43" i="348"/>
  <c r="S43" i="348"/>
  <c r="V43" i="348" s="1"/>
  <c r="Q43" i="348"/>
  <c r="K43" i="348"/>
  <c r="AB42" i="348"/>
  <c r="U42" i="348"/>
  <c r="T42" i="348"/>
  <c r="S42" i="348"/>
  <c r="V42" i="348" s="1"/>
  <c r="Q42" i="348"/>
  <c r="K42" i="348"/>
  <c r="U41" i="348"/>
  <c r="V41" i="348" s="1"/>
  <c r="T41" i="348"/>
  <c r="S41" i="348"/>
  <c r="Q41" i="348"/>
  <c r="K41" i="348"/>
  <c r="U40" i="348"/>
  <c r="T40" i="348"/>
  <c r="S40" i="348"/>
  <c r="V40" i="348" s="1"/>
  <c r="K40" i="348"/>
  <c r="U39" i="348"/>
  <c r="T39" i="348"/>
  <c r="S39" i="348"/>
  <c r="V39" i="348" s="1"/>
  <c r="Q39" i="348"/>
  <c r="K39" i="348"/>
  <c r="U38" i="348"/>
  <c r="T38" i="348"/>
  <c r="S38" i="348"/>
  <c r="V38" i="348" s="1"/>
  <c r="Q38" i="348"/>
  <c r="K38" i="348"/>
  <c r="O38" i="348" s="1"/>
  <c r="AD37" i="348"/>
  <c r="U37" i="348"/>
  <c r="T37" i="348"/>
  <c r="S37" i="348"/>
  <c r="V37" i="348" s="1"/>
  <c r="Q37" i="348"/>
  <c r="K37" i="348"/>
  <c r="AD36" i="348"/>
  <c r="Z36" i="348"/>
  <c r="U36" i="348"/>
  <c r="T36" i="348"/>
  <c r="S36" i="348"/>
  <c r="Q36" i="348"/>
  <c r="K36" i="348"/>
  <c r="Z35" i="348"/>
  <c r="U35" i="348"/>
  <c r="T35" i="348"/>
  <c r="S35" i="348"/>
  <c r="Q35" i="348"/>
  <c r="K35" i="348"/>
  <c r="AD34" i="348"/>
  <c r="AD35" i="348" s="1"/>
  <c r="AC34" i="348"/>
  <c r="U34" i="348"/>
  <c r="T34" i="348"/>
  <c r="S34" i="348"/>
  <c r="V34" i="348" s="1"/>
  <c r="Q34" i="348"/>
  <c r="K34" i="348"/>
  <c r="U33" i="348"/>
  <c r="T33" i="348"/>
  <c r="S33" i="348"/>
  <c r="V33" i="348" s="1"/>
  <c r="Q33" i="348"/>
  <c r="K33" i="348"/>
  <c r="U32" i="348"/>
  <c r="T32" i="348"/>
  <c r="V32" i="348" s="1"/>
  <c r="S32" i="348"/>
  <c r="Q32" i="348"/>
  <c r="K32" i="348"/>
  <c r="V31" i="348"/>
  <c r="U31" i="348"/>
  <c r="T31" i="348"/>
  <c r="S31" i="348"/>
  <c r="Q31" i="348"/>
  <c r="K31" i="348"/>
  <c r="Z30" i="348"/>
  <c r="Z10" i="348" s="1"/>
  <c r="U30" i="348"/>
  <c r="T30" i="348"/>
  <c r="S30" i="348"/>
  <c r="V30" i="348" s="1"/>
  <c r="Q30" i="348"/>
  <c r="K30" i="348"/>
  <c r="O30" i="348" s="1"/>
  <c r="U29" i="348"/>
  <c r="T29" i="348"/>
  <c r="S29" i="348"/>
  <c r="V29" i="348" s="1"/>
  <c r="Q29" i="348"/>
  <c r="K29" i="348"/>
  <c r="U28" i="348"/>
  <c r="T28" i="348"/>
  <c r="S28" i="348"/>
  <c r="V28" i="348" s="1"/>
  <c r="Q28" i="348"/>
  <c r="K28" i="348"/>
  <c r="U27" i="348"/>
  <c r="T27" i="348"/>
  <c r="S27" i="348"/>
  <c r="Q27" i="348"/>
  <c r="N27" i="348"/>
  <c r="O39" i="348" s="1"/>
  <c r="K27" i="348"/>
  <c r="T26" i="348"/>
  <c r="S26" i="348"/>
  <c r="V26" i="348" s="1"/>
  <c r="Q26" i="348"/>
  <c r="U26" i="348" s="1"/>
  <c r="AB102" i="348" s="1"/>
  <c r="K26" i="348"/>
  <c r="V25" i="348"/>
  <c r="U25" i="348"/>
  <c r="T25" i="348"/>
  <c r="Q25" i="348"/>
  <c r="S25" i="348" s="1"/>
  <c r="K25" i="348"/>
  <c r="U24" i="348"/>
  <c r="T24" i="348"/>
  <c r="S24" i="348"/>
  <c r="V24" i="348" s="1"/>
  <c r="Q24" i="348"/>
  <c r="K24" i="348"/>
  <c r="U23" i="348"/>
  <c r="T23" i="348"/>
  <c r="V23" i="348" s="1"/>
  <c r="S23" i="348"/>
  <c r="Q23" i="348"/>
  <c r="K23" i="348"/>
  <c r="U22" i="348"/>
  <c r="Q22" i="348"/>
  <c r="T22" i="348" s="1"/>
  <c r="K22" i="348"/>
  <c r="V21" i="348"/>
  <c r="U21" i="348"/>
  <c r="T21" i="348"/>
  <c r="S21" i="348"/>
  <c r="Q21" i="348"/>
  <c r="K21" i="348"/>
  <c r="U20" i="348"/>
  <c r="T20" i="348"/>
  <c r="Q20" i="348"/>
  <c r="S20" i="348" s="1"/>
  <c r="V20" i="348" s="1"/>
  <c r="K20" i="348"/>
  <c r="U19" i="348"/>
  <c r="V19" i="348" s="1"/>
  <c r="T19" i="348"/>
  <c r="S19" i="348"/>
  <c r="Q19" i="348"/>
  <c r="K19" i="348"/>
  <c r="U18" i="348"/>
  <c r="T18" i="348"/>
  <c r="AB94" i="348" s="1"/>
  <c r="S18" i="348"/>
  <c r="AB99" i="348" s="1"/>
  <c r="Q18" i="348"/>
  <c r="K18" i="348"/>
  <c r="U17" i="348"/>
  <c r="T17" i="348"/>
  <c r="S17" i="348"/>
  <c r="V17" i="348" s="1"/>
  <c r="Q17" i="348"/>
  <c r="K17" i="348"/>
  <c r="Z16" i="348"/>
  <c r="AA16" i="348" s="1"/>
  <c r="U16" i="348"/>
  <c r="T16" i="348"/>
  <c r="AB93" i="348" s="1"/>
  <c r="S16" i="348"/>
  <c r="V16" i="348" s="1"/>
  <c r="K16" i="348"/>
  <c r="AA15" i="348"/>
  <c r="Z15" i="348"/>
  <c r="U15" i="348"/>
  <c r="T15" i="348"/>
  <c r="S15" i="348"/>
  <c r="V15" i="348" s="1"/>
  <c r="Q15" i="348"/>
  <c r="K15" i="348"/>
  <c r="U14" i="348"/>
  <c r="T14" i="348"/>
  <c r="Q14" i="348"/>
  <c r="S14" i="348" s="1"/>
  <c r="V14" i="348" s="1"/>
  <c r="K14" i="348"/>
  <c r="U13" i="348"/>
  <c r="T13" i="348"/>
  <c r="Q13" i="348"/>
  <c r="S13" i="348" s="1"/>
  <c r="V13" i="348" s="1"/>
  <c r="K13" i="348"/>
  <c r="AC12" i="348"/>
  <c r="AB12" i="348"/>
  <c r="AA12" i="348"/>
  <c r="U12" i="348"/>
  <c r="T12" i="348"/>
  <c r="Q12" i="348"/>
  <c r="S12" i="348" s="1"/>
  <c r="V12" i="348" s="1"/>
  <c r="K12" i="348"/>
  <c r="AA11" i="348"/>
  <c r="U11" i="348"/>
  <c r="T11" i="348"/>
  <c r="Q11" i="348"/>
  <c r="S11" i="348" s="1"/>
  <c r="V11" i="348" s="1"/>
  <c r="K11" i="348"/>
  <c r="AB10" i="348"/>
  <c r="U10" i="348"/>
  <c r="Q10" i="348"/>
  <c r="T10" i="348" s="1"/>
  <c r="K10" i="348"/>
  <c r="AA9" i="348"/>
  <c r="U9" i="348"/>
  <c r="Q9" i="348"/>
  <c r="T9" i="348" s="1"/>
  <c r="K9" i="348"/>
  <c r="U8" i="348"/>
  <c r="T8" i="348"/>
  <c r="S8" i="348"/>
  <c r="V8" i="348" s="1"/>
  <c r="Q8" i="348"/>
  <c r="K8" i="348"/>
  <c r="Z7" i="348"/>
  <c r="U7" i="348"/>
  <c r="T7" i="348"/>
  <c r="S7" i="348"/>
  <c r="V7" i="348" s="1"/>
  <c r="Q7" i="348"/>
  <c r="K7" i="348"/>
  <c r="I7" i="348"/>
  <c r="H7" i="348"/>
  <c r="Z6" i="348"/>
  <c r="U6" i="348"/>
  <c r="T6" i="348"/>
  <c r="S6" i="348"/>
  <c r="V6" i="348" s="1"/>
  <c r="Q6" i="348"/>
  <c r="K6" i="348"/>
  <c r="U5" i="348"/>
  <c r="S5" i="348"/>
  <c r="Q5" i="348"/>
  <c r="T5" i="348" s="1"/>
  <c r="V5" i="348" s="1"/>
  <c r="K5" i="348"/>
  <c r="U4" i="348"/>
  <c r="T4" i="348"/>
  <c r="S4" i="348"/>
  <c r="V4" i="348" s="1"/>
  <c r="Q4" i="348"/>
  <c r="K4" i="348"/>
  <c r="AE3" i="348"/>
  <c r="U3" i="348"/>
  <c r="T3" i="348"/>
  <c r="S3" i="348"/>
  <c r="V3" i="348" s="1"/>
  <c r="Q3" i="348"/>
  <c r="K3" i="348"/>
  <c r="U2" i="348"/>
  <c r="T2" i="348"/>
  <c r="Q2" i="348"/>
  <c r="Q105" i="348" s="1"/>
  <c r="K2" i="348"/>
  <c r="K105" i="348" s="1"/>
  <c r="K108" i="348" s="1"/>
  <c r="K110" i="348" s="1"/>
  <c r="AB95" i="349" l="1"/>
  <c r="AD36" i="349"/>
  <c r="AE36" i="349" s="1"/>
  <c r="O46" i="349"/>
  <c r="AE34" i="349"/>
  <c r="O45" i="349"/>
  <c r="V53" i="349"/>
  <c r="AB92" i="349"/>
  <c r="AD4" i="349"/>
  <c r="AD5" i="349" s="1"/>
  <c r="AA34" i="349" s="1"/>
  <c r="AB34" i="349" s="1"/>
  <c r="O81" i="349"/>
  <c r="O66" i="349"/>
  <c r="O56" i="349"/>
  <c r="O47" i="349"/>
  <c r="O32" i="349"/>
  <c r="O35" i="349"/>
  <c r="O54" i="349"/>
  <c r="O38" i="349"/>
  <c r="O30" i="349"/>
  <c r="AB100" i="349"/>
  <c r="O24" i="349"/>
  <c r="O8" i="349"/>
  <c r="O14" i="349"/>
  <c r="O2" i="349"/>
  <c r="O16" i="349"/>
  <c r="O20" i="349"/>
  <c r="O26" i="349"/>
  <c r="O5" i="349"/>
  <c r="T105" i="349"/>
  <c r="AB4" i="349" s="1"/>
  <c r="Z58" i="349" s="1"/>
  <c r="O15" i="349"/>
  <c r="O7" i="349"/>
  <c r="O10" i="349"/>
  <c r="O90" i="349"/>
  <c r="O88" i="349"/>
  <c r="O89" i="349"/>
  <c r="O85" i="349"/>
  <c r="O93" i="349"/>
  <c r="O80" i="349"/>
  <c r="O76" i="349"/>
  <c r="O74" i="349"/>
  <c r="O64" i="349"/>
  <c r="O62" i="349"/>
  <c r="O69" i="349"/>
  <c r="O63" i="349"/>
  <c r="O73" i="349"/>
  <c r="O72" i="349"/>
  <c r="AB97" i="349"/>
  <c r="S105" i="349"/>
  <c r="AC4" i="349" s="1"/>
  <c r="V2" i="349"/>
  <c r="O87" i="349"/>
  <c r="O61" i="349"/>
  <c r="O65" i="349"/>
  <c r="O78" i="349"/>
  <c r="O60" i="349"/>
  <c r="O83" i="349"/>
  <c r="O84" i="349"/>
  <c r="O55" i="349"/>
  <c r="O41" i="349"/>
  <c r="O33" i="349"/>
  <c r="O37" i="349"/>
  <c r="O50" i="349"/>
  <c r="O31" i="349"/>
  <c r="O36" i="349"/>
  <c r="O103" i="349"/>
  <c r="O101" i="349"/>
  <c r="O97" i="349"/>
  <c r="O95" i="349"/>
  <c r="O99" i="349"/>
  <c r="O98" i="349"/>
  <c r="O94" i="349"/>
  <c r="O96" i="349"/>
  <c r="O102" i="349"/>
  <c r="O100" i="349"/>
  <c r="O86" i="349"/>
  <c r="O59" i="349"/>
  <c r="O44" i="349"/>
  <c r="O49" i="349"/>
  <c r="O70" i="349"/>
  <c r="O42" i="349"/>
  <c r="O92" i="349"/>
  <c r="O79" i="349"/>
  <c r="R105" i="349"/>
  <c r="O39" i="349"/>
  <c r="N105" i="349"/>
  <c r="O27" i="349"/>
  <c r="O25" i="349"/>
  <c r="O19" i="349"/>
  <c r="O17" i="349"/>
  <c r="O22" i="349"/>
  <c r="O13" i="349"/>
  <c r="O28" i="349"/>
  <c r="O9" i="349"/>
  <c r="O4" i="349"/>
  <c r="O11" i="349"/>
  <c r="O6" i="349"/>
  <c r="O3" i="349"/>
  <c r="O67" i="349"/>
  <c r="O29" i="349"/>
  <c r="AK79" i="349"/>
  <c r="Z14" i="349"/>
  <c r="AA10" i="349"/>
  <c r="O68" i="349"/>
  <c r="AC42" i="349"/>
  <c r="O71" i="349"/>
  <c r="O77" i="349"/>
  <c r="AE35" i="349"/>
  <c r="V9" i="349"/>
  <c r="O75" i="349"/>
  <c r="O43" i="349"/>
  <c r="O91" i="349"/>
  <c r="O58" i="349"/>
  <c r="T105" i="348"/>
  <c r="AB4" i="348" s="1"/>
  <c r="O14" i="348"/>
  <c r="O15" i="348"/>
  <c r="AK79" i="348"/>
  <c r="Z14" i="348"/>
  <c r="AA10" i="348"/>
  <c r="O5" i="348"/>
  <c r="O24" i="348"/>
  <c r="O28" i="348"/>
  <c r="O16" i="348"/>
  <c r="O29" i="348"/>
  <c r="AB95" i="348"/>
  <c r="O45" i="348"/>
  <c r="S2" i="348"/>
  <c r="S10" i="348"/>
  <c r="V10" i="348" s="1"/>
  <c r="S22" i="348"/>
  <c r="V22" i="348" s="1"/>
  <c r="O36" i="348"/>
  <c r="O49" i="348"/>
  <c r="O55" i="348"/>
  <c r="N2" i="348"/>
  <c r="O10" i="348" s="1"/>
  <c r="AB92" i="348"/>
  <c r="H105" i="348"/>
  <c r="AA42" i="348"/>
  <c r="AC42" i="348" s="1"/>
  <c r="AA97" i="348"/>
  <c r="S9" i="348"/>
  <c r="V9" i="348" s="1"/>
  <c r="O26" i="348"/>
  <c r="O31" i="348"/>
  <c r="AE34" i="348"/>
  <c r="AC36" i="348"/>
  <c r="AE36" i="348" s="1"/>
  <c r="O35" i="348"/>
  <c r="AC35" i="348"/>
  <c r="O37" i="348"/>
  <c r="Z37" i="348"/>
  <c r="O43" i="348"/>
  <c r="V45" i="348"/>
  <c r="R50" i="348"/>
  <c r="O50" i="348"/>
  <c r="O53" i="348"/>
  <c r="V76" i="348"/>
  <c r="O56" i="348"/>
  <c r="O47" i="348"/>
  <c r="O44" i="348"/>
  <c r="O33" i="348"/>
  <c r="O46" i="348"/>
  <c r="AC61" i="348"/>
  <c r="AA68" i="348" s="1"/>
  <c r="AC58" i="348"/>
  <c r="O32" i="348"/>
  <c r="O41" i="348"/>
  <c r="O2" i="348"/>
  <c r="U105" i="348"/>
  <c r="AD4" i="348" s="1"/>
  <c r="AA60" i="348"/>
  <c r="AA36" i="348"/>
  <c r="AB36" i="348" s="1"/>
  <c r="AD5" i="348"/>
  <c r="AA34" i="348" s="1"/>
  <c r="AB34" i="348" s="1"/>
  <c r="AA92" i="348"/>
  <c r="I105" i="348"/>
  <c r="AD7" i="348"/>
  <c r="AB98" i="348"/>
  <c r="V18" i="348"/>
  <c r="O20" i="348"/>
  <c r="V27" i="348"/>
  <c r="AB100" i="348"/>
  <c r="V36" i="348"/>
  <c r="V56" i="348"/>
  <c r="N56" i="348"/>
  <c r="O73" i="348" s="1"/>
  <c r="AB61" i="348"/>
  <c r="AB62" i="348"/>
  <c r="O70" i="348"/>
  <c r="V72" i="348"/>
  <c r="O34" i="348"/>
  <c r="V35" i="348"/>
  <c r="O42" i="348"/>
  <c r="O54" i="348"/>
  <c r="V55" i="348"/>
  <c r="V65" i="348"/>
  <c r="V73" i="348"/>
  <c r="V64" i="348"/>
  <c r="N85" i="348"/>
  <c r="O85" i="348" s="1"/>
  <c r="R52" i="348"/>
  <c r="AA62" i="348"/>
  <c r="V74" i="348"/>
  <c r="V82" i="348"/>
  <c r="O83" i="348"/>
  <c r="V88" i="348"/>
  <c r="V96" i="348"/>
  <c r="V89" i="348"/>
  <c r="O93" i="348"/>
  <c r="N94" i="348"/>
  <c r="V95" i="348"/>
  <c r="V103" i="348"/>
  <c r="AE37" i="349" l="1"/>
  <c r="AD37" i="349"/>
  <c r="AA35" i="349"/>
  <c r="AB35" i="349" s="1"/>
  <c r="Z60" i="349"/>
  <c r="AD60" i="349" s="1"/>
  <c r="AE80" i="349" s="1"/>
  <c r="AB5" i="349"/>
  <c r="V105" i="349"/>
  <c r="AA37" i="349"/>
  <c r="AB37" i="349" s="1"/>
  <c r="Z59" i="349"/>
  <c r="Z61" i="349" s="1"/>
  <c r="AC5" i="349"/>
  <c r="AE4" i="349"/>
  <c r="Z18" i="349"/>
  <c r="Z24" i="349" s="1"/>
  <c r="W2" i="349" s="1"/>
  <c r="AA4" i="349"/>
  <c r="AA3" i="349"/>
  <c r="Z13" i="349"/>
  <c r="AD58" i="349"/>
  <c r="AB78" i="349"/>
  <c r="O68" i="348"/>
  <c r="O78" i="348"/>
  <c r="AB47" i="348"/>
  <c r="AC80" i="348"/>
  <c r="AC81" i="348" s="1"/>
  <c r="AA61" i="348"/>
  <c r="R105" i="348"/>
  <c r="O8" i="348"/>
  <c r="O12" i="348"/>
  <c r="Z18" i="348"/>
  <c r="Z24" i="348" s="1"/>
  <c r="W2" i="348" s="1"/>
  <c r="AA4" i="348"/>
  <c r="AA3" i="348"/>
  <c r="Z13" i="348"/>
  <c r="O86" i="348"/>
  <c r="O92" i="348"/>
  <c r="O89" i="348"/>
  <c r="O87" i="348"/>
  <c r="O67" i="348"/>
  <c r="O63" i="348"/>
  <c r="O61" i="348"/>
  <c r="O79" i="348"/>
  <c r="O69" i="348"/>
  <c r="O66" i="348"/>
  <c r="O77" i="348"/>
  <c r="O74" i="348"/>
  <c r="O60" i="348"/>
  <c r="O59" i="348"/>
  <c r="O58" i="348"/>
  <c r="O72" i="348"/>
  <c r="O88" i="348"/>
  <c r="O80" i="348"/>
  <c r="O57" i="348"/>
  <c r="AA69" i="348"/>
  <c r="O76" i="348"/>
  <c r="O102" i="348"/>
  <c r="O100" i="348"/>
  <c r="O94" i="348"/>
  <c r="O103" i="348"/>
  <c r="O101" i="348"/>
  <c r="O97" i="348"/>
  <c r="O95" i="348"/>
  <c r="O99" i="348"/>
  <c r="O98" i="348"/>
  <c r="O96" i="348"/>
  <c r="O90" i="348"/>
  <c r="O75" i="348"/>
  <c r="O91" i="348"/>
  <c r="O65" i="348"/>
  <c r="O62" i="348"/>
  <c r="AA35" i="348"/>
  <c r="Z60" i="348"/>
  <c r="O64" i="348"/>
  <c r="AE35" i="348"/>
  <c r="AE37" i="348" s="1"/>
  <c r="AC37" i="348"/>
  <c r="N105" i="348"/>
  <c r="O22" i="348"/>
  <c r="O27" i="348"/>
  <c r="O17" i="348"/>
  <c r="O6" i="348"/>
  <c r="O3" i="348"/>
  <c r="O11" i="348"/>
  <c r="O4" i="348"/>
  <c r="O25" i="348"/>
  <c r="O19" i="348"/>
  <c r="O13" i="348"/>
  <c r="O9" i="348"/>
  <c r="S105" i="348"/>
  <c r="AC4" i="348" s="1"/>
  <c r="AB97" i="348"/>
  <c r="V2" i="348"/>
  <c r="V105" i="348" s="1"/>
  <c r="O71" i="348"/>
  <c r="O7" i="348"/>
  <c r="Z58" i="348"/>
  <c r="AE4" i="348"/>
  <c r="AB5" i="348"/>
  <c r="AB80" i="349" l="1"/>
  <c r="AD80" i="349" s="1"/>
  <c r="AK77" i="349" s="1"/>
  <c r="AL77" i="349" s="1"/>
  <c r="Z53" i="349"/>
  <c r="AB17" i="349"/>
  <c r="AE5" i="349"/>
  <c r="AF80" i="349"/>
  <c r="AF4" i="349"/>
  <c r="L2" i="349"/>
  <c r="L3" i="349" s="1"/>
  <c r="L4" i="349" s="1"/>
  <c r="L5" i="349" s="1"/>
  <c r="L6" i="349" s="1"/>
  <c r="L7" i="349" s="1"/>
  <c r="L8" i="349" s="1"/>
  <c r="L9" i="349" s="1"/>
  <c r="L10" i="349" s="1"/>
  <c r="L11" i="349" s="1"/>
  <c r="L12" i="349" s="1"/>
  <c r="L13" i="349" s="1"/>
  <c r="L14" i="349" s="1"/>
  <c r="L15" i="349" s="1"/>
  <c r="L16" i="349" s="1"/>
  <c r="L17" i="349" s="1"/>
  <c r="L18" i="349" s="1"/>
  <c r="L19" i="349" s="1"/>
  <c r="L20" i="349" s="1"/>
  <c r="L21" i="349" s="1"/>
  <c r="L22" i="349" s="1"/>
  <c r="L23" i="349" s="1"/>
  <c r="L24" i="349" s="1"/>
  <c r="L25" i="349" s="1"/>
  <c r="L26" i="349" s="1"/>
  <c r="L27" i="349" s="1"/>
  <c r="L28" i="349" s="1"/>
  <c r="L29" i="349" s="1"/>
  <c r="L30" i="349" s="1"/>
  <c r="L31" i="349" s="1"/>
  <c r="L32" i="349" s="1"/>
  <c r="L33" i="349" s="1"/>
  <c r="L34" i="349" s="1"/>
  <c r="L35" i="349" s="1"/>
  <c r="L36" i="349" s="1"/>
  <c r="L37" i="349" s="1"/>
  <c r="L38" i="349" s="1"/>
  <c r="L39" i="349" s="1"/>
  <c r="L40" i="349" s="1"/>
  <c r="L41" i="349" s="1"/>
  <c r="L42" i="349" s="1"/>
  <c r="L43" i="349" s="1"/>
  <c r="L44" i="349" s="1"/>
  <c r="L45" i="349" s="1"/>
  <c r="L46" i="349" s="1"/>
  <c r="L47" i="349" s="1"/>
  <c r="L48" i="349" s="1"/>
  <c r="L49" i="349" s="1"/>
  <c r="L50" i="349" s="1"/>
  <c r="L51" i="349" s="1"/>
  <c r="L52" i="349" s="1"/>
  <c r="L53" i="349" s="1"/>
  <c r="L54" i="349" s="1"/>
  <c r="L55" i="349" s="1"/>
  <c r="L56" i="349" s="1"/>
  <c r="L57" i="349" s="1"/>
  <c r="L58" i="349" s="1"/>
  <c r="L59" i="349" s="1"/>
  <c r="L60" i="349" s="1"/>
  <c r="L61" i="349" s="1"/>
  <c r="L62" i="349" s="1"/>
  <c r="L63" i="349" s="1"/>
  <c r="L64" i="349" s="1"/>
  <c r="L65" i="349" s="1"/>
  <c r="L66" i="349" s="1"/>
  <c r="L67" i="349" s="1"/>
  <c r="L68" i="349" s="1"/>
  <c r="L69" i="349" s="1"/>
  <c r="L70" i="349" s="1"/>
  <c r="L71" i="349" s="1"/>
  <c r="L72" i="349" s="1"/>
  <c r="L73" i="349" s="1"/>
  <c r="L74" i="349" s="1"/>
  <c r="L75" i="349" s="1"/>
  <c r="L76" i="349" s="1"/>
  <c r="L77" i="349" s="1"/>
  <c r="L78" i="349" s="1"/>
  <c r="L79" i="349" s="1"/>
  <c r="L80" i="349" s="1"/>
  <c r="L81" i="349" s="1"/>
  <c r="L82" i="349" s="1"/>
  <c r="L83" i="349" s="1"/>
  <c r="L84" i="349" s="1"/>
  <c r="L85" i="349" s="1"/>
  <c r="L86" i="349" s="1"/>
  <c r="L87" i="349" s="1"/>
  <c r="L88" i="349" s="1"/>
  <c r="L89" i="349" s="1"/>
  <c r="L90" i="349" s="1"/>
  <c r="L91" i="349" s="1"/>
  <c r="L92" i="349" s="1"/>
  <c r="L93" i="349" s="1"/>
  <c r="L94" i="349" s="1"/>
  <c r="L95" i="349" s="1"/>
  <c r="L96" i="349" s="1"/>
  <c r="L97" i="349" s="1"/>
  <c r="L98" i="349" s="1"/>
  <c r="L99" i="349" s="1"/>
  <c r="L100" i="349" s="1"/>
  <c r="L101" i="349" s="1"/>
  <c r="L102" i="349" s="1"/>
  <c r="L103" i="349" s="1"/>
  <c r="L105" i="349" s="1"/>
  <c r="AG4" i="349"/>
  <c r="AD59" i="349"/>
  <c r="AE79" i="349" s="1"/>
  <c r="AB79" i="349"/>
  <c r="AD79" i="349" s="1"/>
  <c r="AK76" i="349" s="1"/>
  <c r="AL76" i="349" s="1"/>
  <c r="Z62" i="349"/>
  <c r="W3" i="349"/>
  <c r="AD78" i="349"/>
  <c r="Z4" i="349"/>
  <c r="Z3" i="349"/>
  <c r="AE78" i="349"/>
  <c r="AG3" i="349"/>
  <c r="AD6" i="349" s="1"/>
  <c r="AD7" i="349" s="1"/>
  <c r="AF3" i="349"/>
  <c r="AA5" i="349"/>
  <c r="AA5" i="348"/>
  <c r="AG3" i="348"/>
  <c r="AF3" i="348"/>
  <c r="Z59" i="348"/>
  <c r="AC5" i="348"/>
  <c r="AE5" i="348" s="1"/>
  <c r="AD60" i="348"/>
  <c r="AE80" i="348" s="1"/>
  <c r="AB80" i="348"/>
  <c r="AD80" i="348" s="1"/>
  <c r="AK77" i="348" s="1"/>
  <c r="AL77" i="348" s="1"/>
  <c r="Z53" i="348"/>
  <c r="AF4" i="348"/>
  <c r="L2" i="348"/>
  <c r="L3" i="348" s="1"/>
  <c r="L4" i="348" s="1"/>
  <c r="L5" i="348" s="1"/>
  <c r="L6" i="348" s="1"/>
  <c r="L7" i="348" s="1"/>
  <c r="L8" i="348" s="1"/>
  <c r="L9" i="348" s="1"/>
  <c r="L10" i="348" s="1"/>
  <c r="L11" i="348" s="1"/>
  <c r="L12" i="348" s="1"/>
  <c r="L13" i="348" s="1"/>
  <c r="L14" i="348" s="1"/>
  <c r="L15" i="348" s="1"/>
  <c r="L16" i="348" s="1"/>
  <c r="L17" i="348" s="1"/>
  <c r="L18" i="348" s="1"/>
  <c r="L19" i="348" s="1"/>
  <c r="L20" i="348" s="1"/>
  <c r="L21" i="348" s="1"/>
  <c r="L22" i="348" s="1"/>
  <c r="L23" i="348" s="1"/>
  <c r="L24" i="348" s="1"/>
  <c r="L25" i="348" s="1"/>
  <c r="L26" i="348" s="1"/>
  <c r="L27" i="348" s="1"/>
  <c r="L28" i="348" s="1"/>
  <c r="L29" i="348" s="1"/>
  <c r="L30" i="348" s="1"/>
  <c r="L31" i="348" s="1"/>
  <c r="L32" i="348" s="1"/>
  <c r="L33" i="348" s="1"/>
  <c r="L34" i="348" s="1"/>
  <c r="L35" i="348" s="1"/>
  <c r="L36" i="348" s="1"/>
  <c r="L37" i="348" s="1"/>
  <c r="L38" i="348" s="1"/>
  <c r="L39" i="348" s="1"/>
  <c r="L40" i="348" s="1"/>
  <c r="L41" i="348" s="1"/>
  <c r="L42" i="348" s="1"/>
  <c r="L43" i="348" s="1"/>
  <c r="L44" i="348" s="1"/>
  <c r="L45" i="348" s="1"/>
  <c r="L46" i="348" s="1"/>
  <c r="L47" i="348" s="1"/>
  <c r="L48" i="348" s="1"/>
  <c r="L49" i="348" s="1"/>
  <c r="L50" i="348" s="1"/>
  <c r="L51" i="348" s="1"/>
  <c r="L52" i="348" s="1"/>
  <c r="L53" i="348" s="1"/>
  <c r="L54" i="348" s="1"/>
  <c r="L55" i="348" s="1"/>
  <c r="L56" i="348" s="1"/>
  <c r="L57" i="348" s="1"/>
  <c r="L58" i="348" s="1"/>
  <c r="L59" i="348" s="1"/>
  <c r="L60" i="348" s="1"/>
  <c r="L61" i="348" s="1"/>
  <c r="L62" i="348" s="1"/>
  <c r="L63" i="348" s="1"/>
  <c r="L64" i="348" s="1"/>
  <c r="L65" i="348" s="1"/>
  <c r="L66" i="348" s="1"/>
  <c r="L67" i="348" s="1"/>
  <c r="L68" i="348" s="1"/>
  <c r="L69" i="348" s="1"/>
  <c r="L70" i="348" s="1"/>
  <c r="L71" i="348" s="1"/>
  <c r="L72" i="348" s="1"/>
  <c r="L73" i="348" s="1"/>
  <c r="L74" i="348" s="1"/>
  <c r="L75" i="348" s="1"/>
  <c r="L76" i="348" s="1"/>
  <c r="L77" i="348" s="1"/>
  <c r="L78" i="348" s="1"/>
  <c r="L79" i="348" s="1"/>
  <c r="L80" i="348" s="1"/>
  <c r="L81" i="348" s="1"/>
  <c r="L82" i="348" s="1"/>
  <c r="L83" i="348" s="1"/>
  <c r="L84" i="348" s="1"/>
  <c r="L85" i="348" s="1"/>
  <c r="L86" i="348" s="1"/>
  <c r="L87" i="348" s="1"/>
  <c r="L88" i="348" s="1"/>
  <c r="L89" i="348" s="1"/>
  <c r="L90" i="348" s="1"/>
  <c r="L91" i="348" s="1"/>
  <c r="L92" i="348" s="1"/>
  <c r="L93" i="348" s="1"/>
  <c r="L94" i="348" s="1"/>
  <c r="L95" i="348" s="1"/>
  <c r="L96" i="348" s="1"/>
  <c r="L97" i="348" s="1"/>
  <c r="L98" i="348" s="1"/>
  <c r="L99" i="348" s="1"/>
  <c r="L100" i="348" s="1"/>
  <c r="L101" i="348" s="1"/>
  <c r="L102" i="348" s="1"/>
  <c r="L103" i="348" s="1"/>
  <c r="L105" i="348" s="1"/>
  <c r="AG4" i="348"/>
  <c r="AA37" i="348"/>
  <c r="AB37" i="348" s="1"/>
  <c r="AB35" i="348"/>
  <c r="W3" i="348"/>
  <c r="X2" i="348"/>
  <c r="AB78" i="348"/>
  <c r="Z61" i="348"/>
  <c r="AB17" i="348" s="1"/>
  <c r="AD58" i="348"/>
  <c r="Z62" i="348"/>
  <c r="Z4" i="348"/>
  <c r="Z3" i="348"/>
  <c r="Z5" i="348" s="1"/>
  <c r="Z5" i="349" l="1"/>
  <c r="X2" i="349"/>
  <c r="AF5" i="349"/>
  <c r="AG5" i="349"/>
  <c r="AE81" i="349"/>
  <c r="AF78" i="349"/>
  <c r="AB81" i="349"/>
  <c r="AF79" i="349"/>
  <c r="AD61" i="349"/>
  <c r="W4" i="349"/>
  <c r="X3" i="349"/>
  <c r="AD62" i="349"/>
  <c r="AK75" i="349"/>
  <c r="AD81" i="349"/>
  <c r="AF80" i="348"/>
  <c r="AF5" i="348"/>
  <c r="AE78" i="348"/>
  <c r="W4" i="348"/>
  <c r="X3" i="348"/>
  <c r="AG5" i="348"/>
  <c r="AD78" i="348"/>
  <c r="AD59" i="348"/>
  <c r="AE79" i="348" s="1"/>
  <c r="AB79" i="348"/>
  <c r="AD79" i="348" s="1"/>
  <c r="AK76" i="348" s="1"/>
  <c r="AL76" i="348" s="1"/>
  <c r="W5" i="349" l="1"/>
  <c r="X4" i="349"/>
  <c r="AF81" i="349"/>
  <c r="AK78" i="349"/>
  <c r="AL79" i="349" s="1"/>
  <c r="AL75" i="349"/>
  <c r="AL78" i="349" s="1"/>
  <c r="AD61" i="348"/>
  <c r="AF79" i="348"/>
  <c r="AF78" i="348"/>
  <c r="AE81" i="348"/>
  <c r="AK75" i="348"/>
  <c r="AD81" i="348"/>
  <c r="W5" i="348"/>
  <c r="X4" i="348"/>
  <c r="AB81" i="348"/>
  <c r="AD62" i="348"/>
  <c r="X5" i="349" l="1"/>
  <c r="W6" i="349"/>
  <c r="AF81" i="348"/>
  <c r="AL75" i="348"/>
  <c r="AL78" i="348" s="1"/>
  <c r="AK78" i="348"/>
  <c r="AL79" i="348" s="1"/>
  <c r="W6" i="348"/>
  <c r="X5" i="348"/>
  <c r="X6" i="349" l="1"/>
  <c r="W7" i="349"/>
  <c r="W7" i="348"/>
  <c r="X6" i="348"/>
  <c r="X7" i="349" l="1"/>
  <c r="W8" i="349"/>
  <c r="X7" i="348"/>
  <c r="W8" i="348"/>
  <c r="W9" i="349" l="1"/>
  <c r="X8" i="349"/>
  <c r="W9" i="348"/>
  <c r="X8" i="348"/>
  <c r="X9" i="349" l="1"/>
  <c r="W10" i="349"/>
  <c r="X9" i="348"/>
  <c r="W10" i="348"/>
  <c r="X10" i="349" l="1"/>
  <c r="W11" i="349"/>
  <c r="W11" i="348"/>
  <c r="X10" i="348"/>
  <c r="X11" i="349" l="1"/>
  <c r="W12" i="349"/>
  <c r="X11" i="348"/>
  <c r="W12" i="348"/>
  <c r="W13" i="349" l="1"/>
  <c r="X12" i="349"/>
  <c r="W13" i="348"/>
  <c r="X12" i="348"/>
  <c r="X13" i="349" l="1"/>
  <c r="W14" i="349"/>
  <c r="X13" i="348"/>
  <c r="W14" i="348"/>
  <c r="X14" i="349" l="1"/>
  <c r="W15" i="349"/>
  <c r="X14" i="348"/>
  <c r="W15" i="348"/>
  <c r="W16" i="349" l="1"/>
  <c r="X15" i="349"/>
  <c r="W16" i="348"/>
  <c r="X15" i="348"/>
  <c r="W17" i="349" l="1"/>
  <c r="X16" i="349"/>
  <c r="W17" i="348"/>
  <c r="X16" i="348"/>
  <c r="W18" i="349" l="1"/>
  <c r="W19" i="349" s="1"/>
  <c r="X17" i="349"/>
  <c r="W18" i="348"/>
  <c r="W19" i="348" s="1"/>
  <c r="X17" i="348"/>
  <c r="W20" i="349" l="1"/>
  <c r="W21" i="349" s="1"/>
  <c r="W22" i="349" s="1"/>
  <c r="X19" i="349"/>
  <c r="W20" i="348"/>
  <c r="W21" i="348" s="1"/>
  <c r="W22" i="348" s="1"/>
  <c r="X19" i="348"/>
  <c r="W23" i="349" l="1"/>
  <c r="W24" i="349" s="1"/>
  <c r="X22" i="349"/>
  <c r="W23" i="348"/>
  <c r="W24" i="348" s="1"/>
  <c r="X22" i="348"/>
  <c r="W25" i="349" l="1"/>
  <c r="X24" i="349"/>
  <c r="W25" i="348"/>
  <c r="X24" i="348"/>
  <c r="W26" i="349" l="1"/>
  <c r="X25" i="349"/>
  <c r="W26" i="348"/>
  <c r="X25" i="348"/>
  <c r="X26" i="349" l="1"/>
  <c r="W27" i="349"/>
  <c r="W27" i="348"/>
  <c r="X26" i="348"/>
  <c r="W28" i="349" l="1"/>
  <c r="X27" i="349"/>
  <c r="W28" i="348"/>
  <c r="X27" i="348"/>
  <c r="W29" i="349" l="1"/>
  <c r="X28" i="349"/>
  <c r="X28" i="348"/>
  <c r="W29" i="348"/>
  <c r="X29" i="349" l="1"/>
  <c r="W30" i="349"/>
  <c r="W30" i="348"/>
  <c r="X29" i="348"/>
  <c r="W31" i="349" l="1"/>
  <c r="X30" i="349"/>
  <c r="X30" i="348"/>
  <c r="W31" i="348"/>
  <c r="W32" i="349" l="1"/>
  <c r="X31" i="349"/>
  <c r="W32" i="348"/>
  <c r="X31" i="348"/>
  <c r="W33" i="349" l="1"/>
  <c r="X32" i="349"/>
  <c r="W33" i="348"/>
  <c r="X32" i="348"/>
  <c r="X33" i="349" l="1"/>
  <c r="W34" i="349"/>
  <c r="W34" i="348"/>
  <c r="X33" i="348"/>
  <c r="X34" i="349" l="1"/>
  <c r="W35" i="349"/>
  <c r="X34" i="348"/>
  <c r="W35" i="348"/>
  <c r="W36" i="349" l="1"/>
  <c r="X35" i="349"/>
  <c r="W36" i="348"/>
  <c r="X35" i="348"/>
  <c r="W37" i="349" l="1"/>
  <c r="X36" i="349"/>
  <c r="X36" i="348"/>
  <c r="W37" i="348"/>
  <c r="W38" i="349" l="1"/>
  <c r="X37" i="349"/>
  <c r="W38" i="348"/>
  <c r="X37" i="348"/>
  <c r="W39" i="349" l="1"/>
  <c r="X38" i="349"/>
  <c r="W39" i="348"/>
  <c r="X38" i="348"/>
  <c r="X39" i="349" l="1"/>
  <c r="W40" i="349"/>
  <c r="W41" i="349" s="1"/>
  <c r="X39" i="348"/>
  <c r="W40" i="348"/>
  <c r="W41" i="348" s="1"/>
  <c r="W42" i="349" l="1"/>
  <c r="X41" i="349"/>
  <c r="W42" i="348"/>
  <c r="X41" i="348"/>
  <c r="W43" i="349" l="1"/>
  <c r="X42" i="349"/>
  <c r="X42" i="348"/>
  <c r="W43" i="348"/>
  <c r="X43" i="349" l="1"/>
  <c r="W44" i="349"/>
  <c r="W44" i="348"/>
  <c r="X43" i="348"/>
  <c r="X44" i="349" l="1"/>
  <c r="W45" i="349"/>
  <c r="W45" i="348"/>
  <c r="X44" i="348"/>
  <c r="W46" i="349" l="1"/>
  <c r="X45" i="349"/>
  <c r="W46" i="348"/>
  <c r="X45" i="348"/>
  <c r="X46" i="349" l="1"/>
  <c r="W47" i="349"/>
  <c r="W47" i="348"/>
  <c r="X46" i="348"/>
  <c r="W48" i="349" l="1"/>
  <c r="W49" i="349" s="1"/>
  <c r="X47" i="349"/>
  <c r="W48" i="348"/>
  <c r="W49" i="348" s="1"/>
  <c r="X47" i="348"/>
  <c r="AD3" i="347"/>
  <c r="W50" i="349" l="1"/>
  <c r="X49" i="349"/>
  <c r="X49" i="348"/>
  <c r="W50" i="348"/>
  <c r="U123" i="347"/>
  <c r="I113" i="347"/>
  <c r="P105" i="347"/>
  <c r="M105" i="347"/>
  <c r="J105" i="347"/>
  <c r="H105" i="347"/>
  <c r="U103" i="347"/>
  <c r="T103" i="347"/>
  <c r="S103" i="347"/>
  <c r="Q103" i="347"/>
  <c r="K103" i="347"/>
  <c r="AA102" i="347"/>
  <c r="U102" i="347"/>
  <c r="T102" i="347"/>
  <c r="S102" i="347"/>
  <c r="Q102" i="347"/>
  <c r="K102" i="347"/>
  <c r="U101" i="347"/>
  <c r="T101" i="347"/>
  <c r="S101" i="347"/>
  <c r="Q101" i="347"/>
  <c r="K101" i="347"/>
  <c r="AA100" i="347"/>
  <c r="U100" i="347"/>
  <c r="T100" i="347"/>
  <c r="S100" i="347"/>
  <c r="Q100" i="347"/>
  <c r="K100" i="347"/>
  <c r="AA99" i="347"/>
  <c r="U99" i="347"/>
  <c r="T99" i="347"/>
  <c r="S99" i="347"/>
  <c r="Q99" i="347"/>
  <c r="K99" i="347"/>
  <c r="AA98" i="347"/>
  <c r="U98" i="347"/>
  <c r="T98" i="347"/>
  <c r="S98" i="347"/>
  <c r="Q98" i="347"/>
  <c r="K98" i="347"/>
  <c r="AA97" i="347"/>
  <c r="U97" i="347"/>
  <c r="T97" i="347"/>
  <c r="S97" i="347"/>
  <c r="Q97" i="347"/>
  <c r="K97" i="347"/>
  <c r="U96" i="347"/>
  <c r="T96" i="347"/>
  <c r="S96" i="347"/>
  <c r="Q96" i="347"/>
  <c r="K96" i="347"/>
  <c r="AA95" i="347"/>
  <c r="U95" i="347"/>
  <c r="T95" i="347"/>
  <c r="S95" i="347"/>
  <c r="Q95" i="347"/>
  <c r="K95" i="347"/>
  <c r="AA94" i="347"/>
  <c r="U94" i="347"/>
  <c r="T94" i="347"/>
  <c r="S94" i="347"/>
  <c r="Q94" i="347"/>
  <c r="K94" i="347"/>
  <c r="AA93" i="347"/>
  <c r="U93" i="347"/>
  <c r="T93" i="347"/>
  <c r="S93" i="347"/>
  <c r="Q93" i="347"/>
  <c r="K93" i="347"/>
  <c r="U92" i="347"/>
  <c r="T92" i="347"/>
  <c r="S92" i="347"/>
  <c r="Q92" i="347"/>
  <c r="K92" i="347"/>
  <c r="U91" i="347"/>
  <c r="T91" i="347"/>
  <c r="S91" i="347"/>
  <c r="Q91" i="347"/>
  <c r="K91" i="347"/>
  <c r="U90" i="347"/>
  <c r="T90" i="347"/>
  <c r="S90" i="347"/>
  <c r="Q90" i="347"/>
  <c r="K90" i="347"/>
  <c r="U89" i="347"/>
  <c r="T89" i="347"/>
  <c r="S89" i="347"/>
  <c r="Q89" i="347"/>
  <c r="K89" i="347"/>
  <c r="U88" i="347"/>
  <c r="T88" i="347"/>
  <c r="S88" i="347"/>
  <c r="Q88" i="347"/>
  <c r="K88" i="347"/>
  <c r="AE87" i="347"/>
  <c r="AF86" i="347" s="1"/>
  <c r="AG86" i="347" s="1"/>
  <c r="AH86" i="347" s="1"/>
  <c r="AH87" i="347" s="1"/>
  <c r="AH88" i="347" s="1"/>
  <c r="AA87" i="347"/>
  <c r="Y87" i="347"/>
  <c r="U87" i="347"/>
  <c r="T87" i="347"/>
  <c r="S87" i="347"/>
  <c r="Q87" i="347"/>
  <c r="K87" i="347"/>
  <c r="U86" i="347"/>
  <c r="T86" i="347"/>
  <c r="S86" i="347"/>
  <c r="Q86" i="347"/>
  <c r="K86" i="347"/>
  <c r="U85" i="347"/>
  <c r="T85" i="347"/>
  <c r="S85" i="347"/>
  <c r="Q85" i="347"/>
  <c r="K85" i="347"/>
  <c r="U84" i="347"/>
  <c r="T84" i="347"/>
  <c r="S84" i="347"/>
  <c r="Q84" i="347"/>
  <c r="K84" i="347"/>
  <c r="U83" i="347"/>
  <c r="T83" i="347"/>
  <c r="S83" i="347"/>
  <c r="Q83" i="347"/>
  <c r="K83" i="347"/>
  <c r="U82" i="347"/>
  <c r="T82" i="347"/>
  <c r="S82" i="347"/>
  <c r="Q82" i="347"/>
  <c r="K82" i="347"/>
  <c r="AA81" i="347"/>
  <c r="AA86" i="347" s="1"/>
  <c r="AB86" i="347" s="1"/>
  <c r="AC86" i="347" s="1"/>
  <c r="AD86" i="347" s="1"/>
  <c r="AD87" i="347" s="1"/>
  <c r="AD88" i="347" s="1"/>
  <c r="Z81" i="347"/>
  <c r="U81" i="347"/>
  <c r="T81" i="347"/>
  <c r="S81" i="347"/>
  <c r="Q81" i="347"/>
  <c r="K81" i="347"/>
  <c r="AI80" i="347"/>
  <c r="U80" i="347"/>
  <c r="T80" i="347"/>
  <c r="S80" i="347"/>
  <c r="Q80" i="347"/>
  <c r="K80" i="347"/>
  <c r="AI79" i="347"/>
  <c r="U79" i="347"/>
  <c r="T79" i="347"/>
  <c r="S79" i="347"/>
  <c r="Q79" i="347"/>
  <c r="K79" i="347"/>
  <c r="AI78" i="347"/>
  <c r="U78" i="347"/>
  <c r="T78" i="347"/>
  <c r="S78" i="347"/>
  <c r="Q78" i="347"/>
  <c r="K78" i="347"/>
  <c r="U77" i="347"/>
  <c r="T77" i="347"/>
  <c r="S77" i="347"/>
  <c r="Q77" i="347"/>
  <c r="K77" i="347"/>
  <c r="U76" i="347"/>
  <c r="T76" i="347"/>
  <c r="S76" i="347"/>
  <c r="Q76" i="347"/>
  <c r="K76" i="347"/>
  <c r="U75" i="347"/>
  <c r="T75" i="347"/>
  <c r="S75" i="347"/>
  <c r="Q75" i="347"/>
  <c r="K75" i="347"/>
  <c r="U74" i="347"/>
  <c r="T74" i="347"/>
  <c r="S74" i="347"/>
  <c r="Q74" i="347"/>
  <c r="K74" i="347"/>
  <c r="AD73" i="347"/>
  <c r="Z73" i="347"/>
  <c r="U73" i="347"/>
  <c r="T73" i="347"/>
  <c r="S73" i="347"/>
  <c r="Q73" i="347"/>
  <c r="K73" i="347"/>
  <c r="Z72" i="347"/>
  <c r="U72" i="347"/>
  <c r="T72" i="347"/>
  <c r="S72" i="347"/>
  <c r="Q72" i="347"/>
  <c r="K72" i="347"/>
  <c r="U71" i="347"/>
  <c r="T71" i="347"/>
  <c r="S71" i="347"/>
  <c r="Q71" i="347"/>
  <c r="K71" i="347"/>
  <c r="U70" i="347"/>
  <c r="T70" i="347"/>
  <c r="S70" i="347"/>
  <c r="Q70" i="347"/>
  <c r="K70" i="347"/>
  <c r="U69" i="347"/>
  <c r="T69" i="347"/>
  <c r="S69" i="347"/>
  <c r="Q69" i="347"/>
  <c r="K69" i="347"/>
  <c r="U68" i="347"/>
  <c r="T68" i="347"/>
  <c r="S68" i="347"/>
  <c r="Q68" i="347"/>
  <c r="K68" i="347"/>
  <c r="AA67" i="347"/>
  <c r="U67" i="347"/>
  <c r="T67" i="347"/>
  <c r="S67" i="347"/>
  <c r="Q67" i="347"/>
  <c r="K67" i="347"/>
  <c r="U66" i="347"/>
  <c r="T66" i="347"/>
  <c r="S66" i="347"/>
  <c r="Q66" i="347"/>
  <c r="K66" i="347"/>
  <c r="U65" i="347"/>
  <c r="T65" i="347"/>
  <c r="S65" i="347"/>
  <c r="Q65" i="347"/>
  <c r="K65" i="347"/>
  <c r="U64" i="347"/>
  <c r="T64" i="347"/>
  <c r="S64" i="347"/>
  <c r="Q64" i="347"/>
  <c r="K64" i="347"/>
  <c r="U63" i="347"/>
  <c r="T63" i="347"/>
  <c r="S63" i="347"/>
  <c r="Q63" i="347"/>
  <c r="K63" i="347"/>
  <c r="AC62" i="347"/>
  <c r="U62" i="347"/>
  <c r="T62" i="347"/>
  <c r="S62" i="347"/>
  <c r="Q62" i="347"/>
  <c r="K62" i="347"/>
  <c r="U61" i="347"/>
  <c r="T61" i="347"/>
  <c r="S61" i="347"/>
  <c r="Q61" i="347"/>
  <c r="K61" i="347"/>
  <c r="AA60" i="347"/>
  <c r="AB47" i="347" s="1"/>
  <c r="U60" i="347"/>
  <c r="T60" i="347"/>
  <c r="S60" i="347"/>
  <c r="Q60" i="347"/>
  <c r="K60" i="347"/>
  <c r="AB59" i="347"/>
  <c r="AA59" i="347"/>
  <c r="AC79" i="347" s="1"/>
  <c r="U59" i="347"/>
  <c r="T59" i="347"/>
  <c r="S59" i="347"/>
  <c r="Q59" i="347"/>
  <c r="K59" i="347"/>
  <c r="AM58" i="347"/>
  <c r="AB58" i="347"/>
  <c r="AA58" i="347"/>
  <c r="U58" i="347"/>
  <c r="T58" i="347"/>
  <c r="S58" i="347"/>
  <c r="Q58" i="347"/>
  <c r="K58" i="347"/>
  <c r="U57" i="347"/>
  <c r="T57" i="347"/>
  <c r="S57" i="347"/>
  <c r="Q57" i="347"/>
  <c r="K57" i="347"/>
  <c r="U56" i="347"/>
  <c r="T56" i="347"/>
  <c r="S56" i="347"/>
  <c r="Q56" i="347"/>
  <c r="K56" i="347"/>
  <c r="Y55" i="347"/>
  <c r="U55" i="347"/>
  <c r="T55" i="347"/>
  <c r="S55" i="347"/>
  <c r="Q55" i="347"/>
  <c r="K55" i="347"/>
  <c r="U54" i="347"/>
  <c r="T54" i="347"/>
  <c r="S54" i="347"/>
  <c r="Q54" i="347"/>
  <c r="K54" i="347"/>
  <c r="Y53" i="347"/>
  <c r="U53" i="347"/>
  <c r="T53" i="347"/>
  <c r="Q53" i="347"/>
  <c r="S53" i="347" s="1"/>
  <c r="K53" i="347"/>
  <c r="U52" i="347"/>
  <c r="T52" i="347"/>
  <c r="S52" i="347"/>
  <c r="Q52" i="347"/>
  <c r="K52" i="347"/>
  <c r="Y51" i="347"/>
  <c r="U51" i="347"/>
  <c r="S51" i="347"/>
  <c r="Q51" i="347"/>
  <c r="T51" i="347" s="1"/>
  <c r="K51" i="347"/>
  <c r="AB50" i="347"/>
  <c r="U50" i="347"/>
  <c r="T50" i="347"/>
  <c r="S50" i="347"/>
  <c r="Q50" i="347"/>
  <c r="K50" i="347"/>
  <c r="Y49" i="347"/>
  <c r="Z49" i="347" s="1"/>
  <c r="U49" i="347"/>
  <c r="T49" i="347"/>
  <c r="S49" i="347"/>
  <c r="Q49" i="347"/>
  <c r="K49" i="347"/>
  <c r="Y48" i="347"/>
  <c r="Z48" i="347" s="1"/>
  <c r="U48" i="347"/>
  <c r="T48" i="347"/>
  <c r="S48" i="347"/>
  <c r="Q48" i="347"/>
  <c r="K48" i="347"/>
  <c r="U47" i="347"/>
  <c r="T47" i="347"/>
  <c r="S47" i="347"/>
  <c r="Q47" i="347"/>
  <c r="K47" i="347"/>
  <c r="U46" i="347"/>
  <c r="T46" i="347"/>
  <c r="Q46" i="347"/>
  <c r="S46" i="347" s="1"/>
  <c r="K46" i="347"/>
  <c r="AB45" i="347"/>
  <c r="AA45" i="347"/>
  <c r="U45" i="347"/>
  <c r="T45" i="347"/>
  <c r="S45" i="347"/>
  <c r="Q45" i="347"/>
  <c r="K45" i="347"/>
  <c r="AB44" i="347"/>
  <c r="AA44" i="347"/>
  <c r="U44" i="347"/>
  <c r="T44" i="347"/>
  <c r="S44" i="347"/>
  <c r="Q44" i="347"/>
  <c r="K44" i="347"/>
  <c r="AB43" i="347"/>
  <c r="AA43" i="347"/>
  <c r="U43" i="347"/>
  <c r="T43" i="347"/>
  <c r="S43" i="347"/>
  <c r="Q43" i="347"/>
  <c r="K43" i="347"/>
  <c r="AB42" i="347"/>
  <c r="U42" i="347"/>
  <c r="T42" i="347"/>
  <c r="Q42" i="347"/>
  <c r="S42" i="347" s="1"/>
  <c r="K42" i="347"/>
  <c r="U41" i="347"/>
  <c r="T41" i="347"/>
  <c r="S41" i="347"/>
  <c r="Q41" i="347"/>
  <c r="K41" i="347"/>
  <c r="U40" i="347"/>
  <c r="T40" i="347"/>
  <c r="S40" i="347"/>
  <c r="K40" i="347"/>
  <c r="U39" i="347"/>
  <c r="T39" i="347"/>
  <c r="S39" i="347"/>
  <c r="Q39" i="347"/>
  <c r="K39" i="347"/>
  <c r="U38" i="347"/>
  <c r="T38" i="347"/>
  <c r="Q38" i="347"/>
  <c r="S38" i="347" s="1"/>
  <c r="K38" i="347"/>
  <c r="U37" i="347"/>
  <c r="T37" i="347"/>
  <c r="S37" i="347"/>
  <c r="Q37" i="347"/>
  <c r="K37" i="347"/>
  <c r="Z36" i="347"/>
  <c r="AA36" i="347" s="1"/>
  <c r="AB36" i="347" s="1"/>
  <c r="U36" i="347"/>
  <c r="T36" i="347"/>
  <c r="S36" i="347"/>
  <c r="Q36" i="347"/>
  <c r="K36" i="347"/>
  <c r="Z35" i="347"/>
  <c r="U35" i="347"/>
  <c r="T35" i="347"/>
  <c r="S35" i="347"/>
  <c r="Q35" i="347"/>
  <c r="K35" i="347"/>
  <c r="AC34" i="347"/>
  <c r="AD34" i="347" s="1"/>
  <c r="U34" i="347"/>
  <c r="T34" i="347"/>
  <c r="S34" i="347"/>
  <c r="Q34" i="347"/>
  <c r="K34" i="347"/>
  <c r="U33" i="347"/>
  <c r="T33" i="347"/>
  <c r="S33" i="347"/>
  <c r="Q33" i="347"/>
  <c r="K33" i="347"/>
  <c r="U32" i="347"/>
  <c r="T32" i="347"/>
  <c r="S32" i="347"/>
  <c r="Q32" i="347"/>
  <c r="K32" i="347"/>
  <c r="U31" i="347"/>
  <c r="T31" i="347"/>
  <c r="S31" i="347"/>
  <c r="Q31" i="347"/>
  <c r="K31" i="347"/>
  <c r="Z30" i="347"/>
  <c r="U30" i="347"/>
  <c r="T30" i="347"/>
  <c r="S30" i="347"/>
  <c r="Q30" i="347"/>
  <c r="K30" i="347"/>
  <c r="U29" i="347"/>
  <c r="T29" i="347"/>
  <c r="S29" i="347"/>
  <c r="Q29" i="347"/>
  <c r="K29" i="347"/>
  <c r="U28" i="347"/>
  <c r="T28" i="347"/>
  <c r="S28" i="347"/>
  <c r="Q28" i="347"/>
  <c r="K28" i="347"/>
  <c r="U27" i="347"/>
  <c r="T27" i="347"/>
  <c r="S27" i="347"/>
  <c r="Q27" i="347"/>
  <c r="K27" i="347"/>
  <c r="T26" i="347"/>
  <c r="S26" i="347"/>
  <c r="Q26" i="347"/>
  <c r="U26" i="347" s="1"/>
  <c r="K26" i="347"/>
  <c r="U25" i="347"/>
  <c r="T25" i="347"/>
  <c r="Q25" i="347"/>
  <c r="S25" i="347" s="1"/>
  <c r="K25" i="347"/>
  <c r="U24" i="347"/>
  <c r="T24" i="347"/>
  <c r="S24" i="347"/>
  <c r="Q24" i="347"/>
  <c r="K24" i="347"/>
  <c r="U23" i="347"/>
  <c r="T23" i="347"/>
  <c r="S23" i="347"/>
  <c r="Q23" i="347"/>
  <c r="K23" i="347"/>
  <c r="U22" i="347"/>
  <c r="Q22" i="347"/>
  <c r="S22" i="347" s="1"/>
  <c r="K22" i="347"/>
  <c r="U21" i="347"/>
  <c r="T21" i="347"/>
  <c r="S21" i="347"/>
  <c r="Q21" i="347"/>
  <c r="K21" i="347"/>
  <c r="U20" i="347"/>
  <c r="T20" i="347"/>
  <c r="Q20" i="347"/>
  <c r="S20" i="347" s="1"/>
  <c r="K20" i="347"/>
  <c r="U19" i="347"/>
  <c r="T19" i="347"/>
  <c r="Q19" i="347"/>
  <c r="S19" i="347" s="1"/>
  <c r="K19" i="347"/>
  <c r="U18" i="347"/>
  <c r="S18" i="347"/>
  <c r="Q18" i="347"/>
  <c r="T18" i="347" s="1"/>
  <c r="AB94" i="347" s="1"/>
  <c r="K18" i="347"/>
  <c r="U17" i="347"/>
  <c r="Q17" i="347"/>
  <c r="T17" i="347" s="1"/>
  <c r="K17" i="347"/>
  <c r="U16" i="347"/>
  <c r="T16" i="347"/>
  <c r="S16" i="347"/>
  <c r="K16" i="347"/>
  <c r="Z15" i="347"/>
  <c r="U15" i="347"/>
  <c r="T15" i="347"/>
  <c r="Q15" i="347"/>
  <c r="S15" i="347" s="1"/>
  <c r="K15" i="347"/>
  <c r="U14" i="347"/>
  <c r="T14" i="347"/>
  <c r="Q14" i="347"/>
  <c r="S14" i="347" s="1"/>
  <c r="K14" i="347"/>
  <c r="U13" i="347"/>
  <c r="T13" i="347"/>
  <c r="Q13" i="347"/>
  <c r="S13" i="347" s="1"/>
  <c r="K13" i="347"/>
  <c r="AC12" i="347"/>
  <c r="AB12" i="347"/>
  <c r="AA12" i="347"/>
  <c r="U12" i="347"/>
  <c r="T12" i="347"/>
  <c r="Q12" i="347"/>
  <c r="S12" i="347" s="1"/>
  <c r="K12" i="347"/>
  <c r="AA11" i="347"/>
  <c r="U11" i="347"/>
  <c r="T11" i="347"/>
  <c r="Q11" i="347"/>
  <c r="S11" i="347" s="1"/>
  <c r="K11" i="347"/>
  <c r="AB10" i="347"/>
  <c r="Z10" i="347"/>
  <c r="AA10" i="347" s="1"/>
  <c r="U10" i="347"/>
  <c r="Q10" i="347"/>
  <c r="S10" i="347" s="1"/>
  <c r="K10" i="347"/>
  <c r="AA9" i="347"/>
  <c r="U9" i="347"/>
  <c r="Q9" i="347"/>
  <c r="T9" i="347" s="1"/>
  <c r="K9" i="347"/>
  <c r="U8" i="347"/>
  <c r="T8" i="347"/>
  <c r="Q8" i="347"/>
  <c r="S8" i="347" s="1"/>
  <c r="K8" i="347"/>
  <c r="AD7" i="347"/>
  <c r="Z7" i="347"/>
  <c r="U7" i="347"/>
  <c r="Q7" i="347"/>
  <c r="I7" i="347"/>
  <c r="H7" i="347"/>
  <c r="Z6" i="347"/>
  <c r="U6" i="347"/>
  <c r="T6" i="347"/>
  <c r="Q6" i="347"/>
  <c r="S6" i="347" s="1"/>
  <c r="K6" i="347"/>
  <c r="U5" i="347"/>
  <c r="S5" i="347"/>
  <c r="Q5" i="347"/>
  <c r="T5" i="347" s="1"/>
  <c r="K5" i="347"/>
  <c r="U4" i="347"/>
  <c r="S4" i="347"/>
  <c r="Q4" i="347"/>
  <c r="T4" i="347" s="1"/>
  <c r="K4" i="347"/>
  <c r="AE3" i="347"/>
  <c r="U3" i="347"/>
  <c r="S3" i="347"/>
  <c r="Q3" i="347"/>
  <c r="T3" i="347" s="1"/>
  <c r="K3" i="347"/>
  <c r="U2" i="347"/>
  <c r="T2" i="347"/>
  <c r="Q2" i="347"/>
  <c r="K2" i="347"/>
  <c r="W51" i="349" l="1"/>
  <c r="W52" i="349" s="1"/>
  <c r="W53" i="349" s="1"/>
  <c r="X50" i="349"/>
  <c r="X50" i="348"/>
  <c r="W51" i="348"/>
  <c r="W52" i="348" s="1"/>
  <c r="W53" i="348" s="1"/>
  <c r="AB102" i="347"/>
  <c r="AC45" i="347"/>
  <c r="V62" i="347"/>
  <c r="Z16" i="347"/>
  <c r="AA16" i="347" s="1"/>
  <c r="V99" i="347"/>
  <c r="V65" i="347"/>
  <c r="V70" i="347"/>
  <c r="V80" i="347"/>
  <c r="V85" i="347"/>
  <c r="V91" i="347"/>
  <c r="V93" i="347"/>
  <c r="AA15" i="347"/>
  <c r="V58" i="347"/>
  <c r="V76" i="347"/>
  <c r="V79" i="347"/>
  <c r="V87" i="347"/>
  <c r="V102" i="347"/>
  <c r="Z37" i="347"/>
  <c r="V57" i="347"/>
  <c r="V72" i="347"/>
  <c r="V75" i="347"/>
  <c r="V100" i="347"/>
  <c r="N50" i="347"/>
  <c r="V66" i="347"/>
  <c r="V74" i="347"/>
  <c r="V83" i="347"/>
  <c r="V97" i="347"/>
  <c r="R54" i="347"/>
  <c r="V23" i="347"/>
  <c r="AE34" i="347"/>
  <c r="V40" i="347"/>
  <c r="V59" i="347"/>
  <c r="V69" i="347"/>
  <c r="V89" i="347"/>
  <c r="N94" i="347"/>
  <c r="O96" i="347" s="1"/>
  <c r="AC44" i="347"/>
  <c r="V48" i="347"/>
  <c r="V61" i="347"/>
  <c r="V63" i="347"/>
  <c r="V73" i="347"/>
  <c r="V77" i="347"/>
  <c r="V78" i="347"/>
  <c r="V82" i="347"/>
  <c r="V84" i="347"/>
  <c r="X84" i="347" s="1"/>
  <c r="V86" i="347"/>
  <c r="V92" i="347"/>
  <c r="V96" i="347"/>
  <c r="V103" i="347"/>
  <c r="AC35" i="347"/>
  <c r="T10" i="347"/>
  <c r="V10" i="347" s="1"/>
  <c r="N27" i="347"/>
  <c r="O56" i="347" s="1"/>
  <c r="AB61" i="347"/>
  <c r="V60" i="347"/>
  <c r="V67" i="347"/>
  <c r="V68" i="347"/>
  <c r="AC80" i="347"/>
  <c r="V94" i="347"/>
  <c r="V101" i="347"/>
  <c r="V54" i="347"/>
  <c r="T22" i="347"/>
  <c r="V22" i="347" s="1"/>
  <c r="V25" i="347"/>
  <c r="V36" i="347"/>
  <c r="V39" i="347"/>
  <c r="V43" i="347"/>
  <c r="V37" i="347"/>
  <c r="V38" i="347"/>
  <c r="V42" i="347"/>
  <c r="V30" i="347"/>
  <c r="V35" i="347"/>
  <c r="V44" i="347"/>
  <c r="V45" i="347"/>
  <c r="V49" i="347"/>
  <c r="V56" i="347"/>
  <c r="V32" i="347"/>
  <c r="V34" i="347"/>
  <c r="V41" i="347"/>
  <c r="V47" i="347"/>
  <c r="V53" i="347"/>
  <c r="V8" i="347"/>
  <c r="U105" i="347"/>
  <c r="AD4" i="347" s="1"/>
  <c r="Z60" i="347" s="1"/>
  <c r="V4" i="347"/>
  <c r="V6" i="347"/>
  <c r="V26" i="347"/>
  <c r="V14" i="347"/>
  <c r="V3" i="347"/>
  <c r="V12" i="347"/>
  <c r="V28" i="347"/>
  <c r="Q105" i="347"/>
  <c r="S9" i="347"/>
  <c r="V9" i="347" s="1"/>
  <c r="V11" i="347"/>
  <c r="V15" i="347"/>
  <c r="V29" i="347"/>
  <c r="V13" i="347"/>
  <c r="V19" i="347"/>
  <c r="V24" i="347"/>
  <c r="V27" i="347"/>
  <c r="AB98" i="347"/>
  <c r="V33" i="347"/>
  <c r="S2" i="347"/>
  <c r="AC61" i="347"/>
  <c r="AA69" i="347" s="1"/>
  <c r="AC58" i="347"/>
  <c r="N56" i="347"/>
  <c r="O71" i="347" s="1"/>
  <c r="N85" i="347"/>
  <c r="O87" i="347" s="1"/>
  <c r="V5" i="347"/>
  <c r="AA42" i="347"/>
  <c r="AC42" i="347" s="1"/>
  <c r="S7" i="347"/>
  <c r="K7" i="347"/>
  <c r="Z14" i="347"/>
  <c r="S17" i="347"/>
  <c r="V17" i="347" s="1"/>
  <c r="AB99" i="347"/>
  <c r="V18" i="347"/>
  <c r="V21" i="347"/>
  <c r="V51" i="347"/>
  <c r="AA62" i="347"/>
  <c r="AA61" i="347"/>
  <c r="N81" i="347"/>
  <c r="O83" i="347" s="1"/>
  <c r="AA92" i="347"/>
  <c r="I105" i="347"/>
  <c r="T7" i="347"/>
  <c r="V16" i="347"/>
  <c r="V20" i="347"/>
  <c r="V31" i="347"/>
  <c r="AD36" i="347"/>
  <c r="AD35" i="347"/>
  <c r="AC36" i="347"/>
  <c r="V46" i="347"/>
  <c r="R50" i="347"/>
  <c r="R52" i="347"/>
  <c r="AC78" i="347"/>
  <c r="AK79" i="347"/>
  <c r="AB62" i="347"/>
  <c r="V95" i="347"/>
  <c r="AB93" i="347"/>
  <c r="AC43" i="347"/>
  <c r="V50" i="347"/>
  <c r="V64" i="347"/>
  <c r="V71" i="347"/>
  <c r="V88" i="347"/>
  <c r="V90" i="347"/>
  <c r="V98" i="347"/>
  <c r="V52" i="347"/>
  <c r="V55" i="347"/>
  <c r="V81" i="347"/>
  <c r="W54" i="349" l="1"/>
  <c r="X53" i="349"/>
  <c r="X53" i="348"/>
  <c r="W54" i="348"/>
  <c r="AA68" i="347"/>
  <c r="O102" i="347"/>
  <c r="AB95" i="347"/>
  <c r="O50" i="347"/>
  <c r="O36" i="347"/>
  <c r="O41" i="347"/>
  <c r="O103" i="347"/>
  <c r="O43" i="347"/>
  <c r="O75" i="347"/>
  <c r="O68" i="347"/>
  <c r="T105" i="347"/>
  <c r="AB4" i="347" s="1"/>
  <c r="Z58" i="347" s="1"/>
  <c r="O99" i="347"/>
  <c r="O39" i="347"/>
  <c r="O30" i="347"/>
  <c r="O38" i="347"/>
  <c r="O46" i="347"/>
  <c r="O91" i="347"/>
  <c r="AC81" i="347"/>
  <c r="O47" i="347"/>
  <c r="AD37" i="347"/>
  <c r="O94" i="347"/>
  <c r="O78" i="347"/>
  <c r="O44" i="347"/>
  <c r="O45" i="347"/>
  <c r="O33" i="347"/>
  <c r="O42" i="347"/>
  <c r="O53" i="347"/>
  <c r="O54" i="347"/>
  <c r="O98" i="347"/>
  <c r="O97" i="347"/>
  <c r="O100" i="347"/>
  <c r="O37" i="347"/>
  <c r="O55" i="347"/>
  <c r="O49" i="347"/>
  <c r="O32" i="347"/>
  <c r="O80" i="347"/>
  <c r="O70" i="347"/>
  <c r="O76" i="347"/>
  <c r="O65" i="347"/>
  <c r="O66" i="347"/>
  <c r="O95" i="347"/>
  <c r="O101" i="347"/>
  <c r="O59" i="347"/>
  <c r="O35" i="347"/>
  <c r="O34" i="347"/>
  <c r="O31" i="347"/>
  <c r="O73" i="347"/>
  <c r="O62" i="347"/>
  <c r="O85" i="347"/>
  <c r="O74" i="347"/>
  <c r="AA35" i="347"/>
  <c r="AA37" i="347" s="1"/>
  <c r="AB37" i="347" s="1"/>
  <c r="AD5" i="347"/>
  <c r="AA34" i="347" s="1"/>
  <c r="AB34" i="347" s="1"/>
  <c r="V7" i="347"/>
  <c r="AB92" i="347"/>
  <c r="O81" i="347"/>
  <c r="O84" i="347"/>
  <c r="S105" i="347"/>
  <c r="AC4" i="347" s="1"/>
  <c r="AB97" i="347"/>
  <c r="V2" i="347"/>
  <c r="V105" i="347" s="1"/>
  <c r="AB80" i="347"/>
  <c r="AD80" i="347" s="1"/>
  <c r="AK77" i="347" s="1"/>
  <c r="AL77" i="347" s="1"/>
  <c r="Z53" i="347"/>
  <c r="AD60" i="347"/>
  <c r="AE80" i="347" s="1"/>
  <c r="O82" i="347"/>
  <c r="O89" i="347"/>
  <c r="O90" i="347"/>
  <c r="AE36" i="347"/>
  <c r="N2" i="347"/>
  <c r="Z13" i="347"/>
  <c r="Z18" i="347"/>
  <c r="Z24" i="347" s="1"/>
  <c r="AA4" i="347"/>
  <c r="AA3" i="347"/>
  <c r="K105" i="347"/>
  <c r="K108" i="347" s="1"/>
  <c r="K110" i="347" s="1"/>
  <c r="O86" i="347"/>
  <c r="R105" i="347"/>
  <c r="O92" i="347"/>
  <c r="AE35" i="347"/>
  <c r="O72" i="347"/>
  <c r="O79" i="347"/>
  <c r="O69" i="347"/>
  <c r="O58" i="347"/>
  <c r="O77" i="347"/>
  <c r="O67" i="347"/>
  <c r="O63" i="347"/>
  <c r="O61" i="347"/>
  <c r="O57" i="347"/>
  <c r="O60" i="347"/>
  <c r="O93" i="347"/>
  <c r="AB100" i="347"/>
  <c r="AC37" i="347"/>
  <c r="O64" i="347"/>
  <c r="O88" i="347"/>
  <c r="W55" i="349" l="1"/>
  <c r="X54" i="349"/>
  <c r="X54" i="348"/>
  <c r="W55" i="348"/>
  <c r="AE4" i="347"/>
  <c r="AF4" i="347" s="1"/>
  <c r="AB5" i="347"/>
  <c r="AB35" i="347"/>
  <c r="AA5" i="347"/>
  <c r="AF3" i="347"/>
  <c r="AG3" i="347"/>
  <c r="N105" i="347"/>
  <c r="O16" i="347"/>
  <c r="O8" i="347"/>
  <c r="O29" i="347"/>
  <c r="O24" i="347"/>
  <c r="O20" i="347"/>
  <c r="O15" i="347"/>
  <c r="O10" i="347"/>
  <c r="O3" i="347"/>
  <c r="O27" i="347"/>
  <c r="O19" i="347"/>
  <c r="O17" i="347"/>
  <c r="O5" i="347"/>
  <c r="O9" i="347"/>
  <c r="O11" i="347"/>
  <c r="O28" i="347"/>
  <c r="O6" i="347"/>
  <c r="O12" i="347"/>
  <c r="O4" i="347"/>
  <c r="O14" i="347"/>
  <c r="O13" i="347"/>
  <c r="O2" i="347"/>
  <c r="O22" i="347"/>
  <c r="O26" i="347"/>
  <c r="O25" i="347"/>
  <c r="AG4" i="347"/>
  <c r="L2" i="347"/>
  <c r="L3" i="347" s="1"/>
  <c r="L4" i="347" s="1"/>
  <c r="L5" i="347" s="1"/>
  <c r="L6" i="347" s="1"/>
  <c r="L7" i="347" s="1"/>
  <c r="L8" i="347" s="1"/>
  <c r="L9" i="347" s="1"/>
  <c r="L10" i="347" s="1"/>
  <c r="L11" i="347" s="1"/>
  <c r="L12" i="347" s="1"/>
  <c r="L13" i="347" s="1"/>
  <c r="L14" i="347" s="1"/>
  <c r="L15" i="347" s="1"/>
  <c r="L16" i="347" s="1"/>
  <c r="L17" i="347" s="1"/>
  <c r="L18" i="347" s="1"/>
  <c r="L19" i="347" s="1"/>
  <c r="L20" i="347" s="1"/>
  <c r="L21" i="347" s="1"/>
  <c r="L22" i="347" s="1"/>
  <c r="L23" i="347" s="1"/>
  <c r="L24" i="347" s="1"/>
  <c r="L25" i="347" s="1"/>
  <c r="L26" i="347" s="1"/>
  <c r="L27" i="347" s="1"/>
  <c r="L28" i="347" s="1"/>
  <c r="L29" i="347" s="1"/>
  <c r="L30" i="347" s="1"/>
  <c r="L31" i="347" s="1"/>
  <c r="L32" i="347" s="1"/>
  <c r="L33" i="347" s="1"/>
  <c r="L34" i="347" s="1"/>
  <c r="L35" i="347" s="1"/>
  <c r="L36" i="347" s="1"/>
  <c r="L37" i="347" s="1"/>
  <c r="L38" i="347" s="1"/>
  <c r="L39" i="347" s="1"/>
  <c r="L40" i="347" s="1"/>
  <c r="L41" i="347" s="1"/>
  <c r="L42" i="347" s="1"/>
  <c r="L43" i="347" s="1"/>
  <c r="L44" i="347" s="1"/>
  <c r="L45" i="347" s="1"/>
  <c r="L46" i="347" s="1"/>
  <c r="L47" i="347" s="1"/>
  <c r="L48" i="347" s="1"/>
  <c r="L49" i="347" s="1"/>
  <c r="L50" i="347" s="1"/>
  <c r="L51" i="347" s="1"/>
  <c r="L52" i="347" s="1"/>
  <c r="L53" i="347" s="1"/>
  <c r="L54" i="347" s="1"/>
  <c r="L55" i="347" s="1"/>
  <c r="L56" i="347" s="1"/>
  <c r="L57" i="347" s="1"/>
  <c r="L58" i="347" s="1"/>
  <c r="L59" i="347" s="1"/>
  <c r="L60" i="347" s="1"/>
  <c r="L61" i="347" s="1"/>
  <c r="L62" i="347" s="1"/>
  <c r="L63" i="347" s="1"/>
  <c r="L64" i="347" s="1"/>
  <c r="L65" i="347" s="1"/>
  <c r="L66" i="347" s="1"/>
  <c r="L67" i="347" s="1"/>
  <c r="L68" i="347" s="1"/>
  <c r="L69" i="347" s="1"/>
  <c r="L70" i="347" s="1"/>
  <c r="L71" i="347" s="1"/>
  <c r="L72" i="347" s="1"/>
  <c r="L73" i="347" s="1"/>
  <c r="L74" i="347" s="1"/>
  <c r="L75" i="347" s="1"/>
  <c r="L76" i="347" s="1"/>
  <c r="L77" i="347" s="1"/>
  <c r="L78" i="347" s="1"/>
  <c r="L79" i="347" s="1"/>
  <c r="L80" i="347" s="1"/>
  <c r="L81" i="347" s="1"/>
  <c r="L82" i="347" s="1"/>
  <c r="L83" i="347" s="1"/>
  <c r="L84" i="347" s="1"/>
  <c r="L85" i="347" s="1"/>
  <c r="L86" i="347" s="1"/>
  <c r="L87" i="347" s="1"/>
  <c r="L88" i="347" s="1"/>
  <c r="L89" i="347" s="1"/>
  <c r="L90" i="347" s="1"/>
  <c r="L91" i="347" s="1"/>
  <c r="L92" i="347" s="1"/>
  <c r="L93" i="347" s="1"/>
  <c r="L94" i="347" s="1"/>
  <c r="L95" i="347" s="1"/>
  <c r="L96" i="347" s="1"/>
  <c r="L97" i="347" s="1"/>
  <c r="L98" i="347" s="1"/>
  <c r="L99" i="347" s="1"/>
  <c r="L100" i="347" s="1"/>
  <c r="L101" i="347" s="1"/>
  <c r="L102" i="347" s="1"/>
  <c r="L103" i="347" s="1"/>
  <c r="L105" i="347" s="1"/>
  <c r="W2" i="347"/>
  <c r="AF80" i="347"/>
  <c r="AB78" i="347"/>
  <c r="AD58" i="347"/>
  <c r="AE37" i="347"/>
  <c r="Z4" i="347"/>
  <c r="Z3" i="347"/>
  <c r="Z5" i="347" s="1"/>
  <c r="Z59" i="347"/>
  <c r="AC5" i="347"/>
  <c r="AE5" i="347" s="1"/>
  <c r="O7" i="347"/>
  <c r="W56" i="349" l="1"/>
  <c r="X55" i="349"/>
  <c r="W56" i="348"/>
  <c r="X55" i="348"/>
  <c r="AF5" i="347"/>
  <c r="AB79" i="347"/>
  <c r="AD79" i="347" s="1"/>
  <c r="AK76" i="347" s="1"/>
  <c r="AL76" i="347" s="1"/>
  <c r="AD59" i="347"/>
  <c r="AE79" i="347" s="1"/>
  <c r="Z61" i="347"/>
  <c r="AB17" i="347" s="1"/>
  <c r="Z62" i="347"/>
  <c r="W3" i="347"/>
  <c r="X2" i="347"/>
  <c r="AE78" i="347"/>
  <c r="AD78" i="347"/>
  <c r="AG5" i="347"/>
  <c r="W57" i="349" l="1"/>
  <c r="W58" i="349" s="1"/>
  <c r="W59" i="349" s="1"/>
  <c r="W60" i="349" s="1"/>
  <c r="W61" i="349" s="1"/>
  <c r="W62" i="349" s="1"/>
  <c r="W63" i="349" s="1"/>
  <c r="W64" i="349" s="1"/>
  <c r="W65" i="349" s="1"/>
  <c r="W66" i="349" s="1"/>
  <c r="W67" i="349" s="1"/>
  <c r="W68" i="349" s="1"/>
  <c r="W69" i="349" s="1"/>
  <c r="W70" i="349" s="1"/>
  <c r="W71" i="349" s="1"/>
  <c r="W72" i="349" s="1"/>
  <c r="W73" i="349" s="1"/>
  <c r="W74" i="349" s="1"/>
  <c r="W75" i="349" s="1"/>
  <c r="W76" i="349" s="1"/>
  <c r="W77" i="349" s="1"/>
  <c r="W78" i="349" s="1"/>
  <c r="W79" i="349" s="1"/>
  <c r="W80" i="349" s="1"/>
  <c r="W81" i="349" s="1"/>
  <c r="W82" i="349" s="1"/>
  <c r="W83" i="349" s="1"/>
  <c r="W84" i="349" s="1"/>
  <c r="W85" i="349" s="1"/>
  <c r="W86" i="349" s="1"/>
  <c r="W87" i="349" s="1"/>
  <c r="W88" i="349" s="1"/>
  <c r="W89" i="349" s="1"/>
  <c r="W90" i="349" s="1"/>
  <c r="W91" i="349" s="1"/>
  <c r="W92" i="349" s="1"/>
  <c r="W93" i="349" s="1"/>
  <c r="W94" i="349" s="1"/>
  <c r="W95" i="349" s="1"/>
  <c r="W96" i="349" s="1"/>
  <c r="W97" i="349" s="1"/>
  <c r="W98" i="349" s="1"/>
  <c r="W99" i="349" s="1"/>
  <c r="W100" i="349" s="1"/>
  <c r="W101" i="349" s="1"/>
  <c r="W102" i="349" s="1"/>
  <c r="W103" i="349" s="1"/>
  <c r="W105" i="349" s="1"/>
  <c r="X56" i="349"/>
  <c r="W57" i="348"/>
  <c r="W58" i="348" s="1"/>
  <c r="W59" i="348" s="1"/>
  <c r="W60" i="348" s="1"/>
  <c r="W61" i="348" s="1"/>
  <c r="W62" i="348" s="1"/>
  <c r="W63" i="348" s="1"/>
  <c r="W64" i="348" s="1"/>
  <c r="W65" i="348" s="1"/>
  <c r="W66" i="348" s="1"/>
  <c r="W67" i="348" s="1"/>
  <c r="W68" i="348" s="1"/>
  <c r="W69" i="348" s="1"/>
  <c r="W70" i="348" s="1"/>
  <c r="W71" i="348" s="1"/>
  <c r="W72" i="348" s="1"/>
  <c r="W73" i="348" s="1"/>
  <c r="W74" i="348" s="1"/>
  <c r="W75" i="348" s="1"/>
  <c r="W76" i="348" s="1"/>
  <c r="W77" i="348" s="1"/>
  <c r="W78" i="348" s="1"/>
  <c r="W79" i="348" s="1"/>
  <c r="W80" i="348" s="1"/>
  <c r="W81" i="348" s="1"/>
  <c r="W82" i="348" s="1"/>
  <c r="W83" i="348" s="1"/>
  <c r="W84" i="348" s="1"/>
  <c r="W85" i="348" s="1"/>
  <c r="W86" i="348" s="1"/>
  <c r="W87" i="348" s="1"/>
  <c r="W88" i="348" s="1"/>
  <c r="W89" i="348" s="1"/>
  <c r="W90" i="348" s="1"/>
  <c r="W91" i="348" s="1"/>
  <c r="W92" i="348" s="1"/>
  <c r="W93" i="348" s="1"/>
  <c r="W94" i="348" s="1"/>
  <c r="W95" i="348" s="1"/>
  <c r="W96" i="348" s="1"/>
  <c r="W97" i="348" s="1"/>
  <c r="W98" i="348" s="1"/>
  <c r="W99" i="348" s="1"/>
  <c r="W100" i="348" s="1"/>
  <c r="W101" i="348" s="1"/>
  <c r="W102" i="348" s="1"/>
  <c r="W103" i="348" s="1"/>
  <c r="W105" i="348" s="1"/>
  <c r="X56" i="348"/>
  <c r="AB81" i="347"/>
  <c r="AF79" i="347"/>
  <c r="AD62" i="347"/>
  <c r="W4" i="347"/>
  <c r="X3" i="347"/>
  <c r="AD61" i="347"/>
  <c r="AK75" i="347"/>
  <c r="AD81" i="347"/>
  <c r="AF78" i="347"/>
  <c r="AE81" i="347"/>
  <c r="AF81" i="347" l="1"/>
  <c r="X4" i="347"/>
  <c r="W5" i="347"/>
  <c r="AL75" i="347"/>
  <c r="AL78" i="347" s="1"/>
  <c r="AK78" i="347"/>
  <c r="AL79" i="347" s="1"/>
  <c r="X5" i="347" l="1"/>
  <c r="W6" i="347"/>
  <c r="W7" i="347" l="1"/>
  <c r="X6" i="347"/>
  <c r="W8" i="347" l="1"/>
  <c r="X7" i="347"/>
  <c r="W9" i="347" l="1"/>
  <c r="X8" i="347"/>
  <c r="W10" i="347" l="1"/>
  <c r="X9" i="347"/>
  <c r="X10" i="347" l="1"/>
  <c r="W11" i="347"/>
  <c r="W12" i="347" l="1"/>
  <c r="X11" i="347"/>
  <c r="W13" i="347" l="1"/>
  <c r="X12" i="347"/>
  <c r="W14" i="347" l="1"/>
  <c r="X13" i="347"/>
  <c r="W15" i="347" l="1"/>
  <c r="X14" i="347"/>
  <c r="X15" i="347" l="1"/>
  <c r="W16" i="347"/>
  <c r="X16" i="347" l="1"/>
  <c r="W17" i="347"/>
  <c r="X17" i="347" l="1"/>
  <c r="W18" i="347"/>
  <c r="W19" i="347" s="1"/>
  <c r="X19" i="347" l="1"/>
  <c r="W20" i="347"/>
  <c r="W21" i="347" s="1"/>
  <c r="W22" i="347" s="1"/>
  <c r="W23" i="347" l="1"/>
  <c r="W24" i="347" s="1"/>
  <c r="X22" i="347"/>
  <c r="X24" i="347" l="1"/>
  <c r="W25" i="347"/>
  <c r="X25" i="347" l="1"/>
  <c r="W26" i="347"/>
  <c r="W27" i="347" l="1"/>
  <c r="X26" i="347"/>
  <c r="W28" i="347" l="1"/>
  <c r="X27" i="347"/>
  <c r="W29" i="347" l="1"/>
  <c r="X28" i="347"/>
  <c r="W30" i="347" l="1"/>
  <c r="X29" i="347"/>
  <c r="W31" i="347" l="1"/>
  <c r="X30" i="347"/>
  <c r="W32" i="347" l="1"/>
  <c r="X31" i="347"/>
  <c r="X32" i="347" l="1"/>
  <c r="W33" i="347"/>
  <c r="W34" i="347" l="1"/>
  <c r="X33" i="347"/>
  <c r="X34" i="347" l="1"/>
  <c r="W35" i="347"/>
  <c r="W36" i="347" l="1"/>
  <c r="X35" i="347"/>
  <c r="W37" i="347" l="1"/>
  <c r="X36" i="347"/>
  <c r="W38" i="347" l="1"/>
  <c r="X37" i="347"/>
  <c r="W39" i="347" l="1"/>
  <c r="X38" i="347"/>
  <c r="W40" i="347" l="1"/>
  <c r="W41" i="347" s="1"/>
  <c r="X39" i="347"/>
  <c r="W42" i="347" l="1"/>
  <c r="X41" i="347"/>
  <c r="W43" i="347" l="1"/>
  <c r="X42" i="347"/>
  <c r="X43" i="347" l="1"/>
  <c r="W44" i="347"/>
  <c r="W45" i="347" l="1"/>
  <c r="X44" i="347"/>
  <c r="W46" i="347" l="1"/>
  <c r="X45" i="347"/>
  <c r="X46" i="347" l="1"/>
  <c r="W47" i="347"/>
  <c r="W48" i="347" l="1"/>
  <c r="W49" i="347" s="1"/>
  <c r="X47" i="347"/>
  <c r="X49" i="347" l="1"/>
  <c r="W50" i="347"/>
  <c r="I7" i="346"/>
  <c r="H7" i="346"/>
  <c r="U123" i="346"/>
  <c r="I113" i="346"/>
  <c r="P105" i="346"/>
  <c r="M105" i="346"/>
  <c r="J105" i="346"/>
  <c r="U103" i="346"/>
  <c r="T103" i="346"/>
  <c r="S103" i="346"/>
  <c r="Q103" i="346"/>
  <c r="K103" i="346"/>
  <c r="AA102" i="346"/>
  <c r="U102" i="346"/>
  <c r="T102" i="346"/>
  <c r="S102" i="346"/>
  <c r="Q102" i="346"/>
  <c r="K102" i="346"/>
  <c r="U101" i="346"/>
  <c r="T101" i="346"/>
  <c r="S101" i="346"/>
  <c r="Q101" i="346"/>
  <c r="K101" i="346"/>
  <c r="AA100" i="346"/>
  <c r="U100" i="346"/>
  <c r="T100" i="346"/>
  <c r="S100" i="346"/>
  <c r="Q100" i="346"/>
  <c r="K100" i="346"/>
  <c r="AA99" i="346"/>
  <c r="U99" i="346"/>
  <c r="T99" i="346"/>
  <c r="S99" i="346"/>
  <c r="Q99" i="346"/>
  <c r="K99" i="346"/>
  <c r="AA98" i="346"/>
  <c r="U98" i="346"/>
  <c r="T98" i="346"/>
  <c r="S98" i="346"/>
  <c r="Q98" i="346"/>
  <c r="K98" i="346"/>
  <c r="U97" i="346"/>
  <c r="T97" i="346"/>
  <c r="S97" i="346"/>
  <c r="Q97" i="346"/>
  <c r="K97" i="346"/>
  <c r="U96" i="346"/>
  <c r="T96" i="346"/>
  <c r="S96" i="346"/>
  <c r="Q96" i="346"/>
  <c r="K96" i="346"/>
  <c r="AA95" i="346"/>
  <c r="U95" i="346"/>
  <c r="T95" i="346"/>
  <c r="S95" i="346"/>
  <c r="Q95" i="346"/>
  <c r="K95" i="346"/>
  <c r="AA94" i="346"/>
  <c r="U94" i="346"/>
  <c r="T94" i="346"/>
  <c r="S94" i="346"/>
  <c r="Q94" i="346"/>
  <c r="K94" i="346"/>
  <c r="AA93" i="346"/>
  <c r="U93" i="346"/>
  <c r="T93" i="346"/>
  <c r="S93" i="346"/>
  <c r="Q93" i="346"/>
  <c r="K93" i="346"/>
  <c r="AA92" i="346"/>
  <c r="U92" i="346"/>
  <c r="T92" i="346"/>
  <c r="S92" i="346"/>
  <c r="Q92" i="346"/>
  <c r="K92" i="346"/>
  <c r="U91" i="346"/>
  <c r="T91" i="346"/>
  <c r="S91" i="346"/>
  <c r="Q91" i="346"/>
  <c r="K91" i="346"/>
  <c r="U90" i="346"/>
  <c r="T90" i="346"/>
  <c r="S90" i="346"/>
  <c r="Q90" i="346"/>
  <c r="K90" i="346"/>
  <c r="U89" i="346"/>
  <c r="T89" i="346"/>
  <c r="S89" i="346"/>
  <c r="Q89" i="346"/>
  <c r="K89" i="346"/>
  <c r="U88" i="346"/>
  <c r="T88" i="346"/>
  <c r="S88" i="346"/>
  <c r="Q88" i="346"/>
  <c r="K88" i="346"/>
  <c r="AE87" i="346"/>
  <c r="AA87" i="346"/>
  <c r="Y87" i="346"/>
  <c r="U87" i="346"/>
  <c r="T87" i="346"/>
  <c r="S87" i="346"/>
  <c r="Q87" i="346"/>
  <c r="K87" i="346"/>
  <c r="AF86" i="346"/>
  <c r="AG86" i="346" s="1"/>
  <c r="AH86" i="346" s="1"/>
  <c r="AH87" i="346" s="1"/>
  <c r="AH88" i="346" s="1"/>
  <c r="U86" i="346"/>
  <c r="T86" i="346"/>
  <c r="S86" i="346"/>
  <c r="Q86" i="346"/>
  <c r="K86" i="346"/>
  <c r="U85" i="346"/>
  <c r="T85" i="346"/>
  <c r="S85" i="346"/>
  <c r="Q85" i="346"/>
  <c r="K85" i="346"/>
  <c r="U84" i="346"/>
  <c r="T84" i="346"/>
  <c r="S84" i="346"/>
  <c r="Q84" i="346"/>
  <c r="K84" i="346"/>
  <c r="U83" i="346"/>
  <c r="T83" i="346"/>
  <c r="S83" i="346"/>
  <c r="Q83" i="346"/>
  <c r="K83" i="346"/>
  <c r="U82" i="346"/>
  <c r="T82" i="346"/>
  <c r="S82" i="346"/>
  <c r="Q82" i="346"/>
  <c r="K82" i="346"/>
  <c r="AA81" i="346"/>
  <c r="AA86" i="346" s="1"/>
  <c r="AB86" i="346" s="1"/>
  <c r="AC86" i="346" s="1"/>
  <c r="AD86" i="346" s="1"/>
  <c r="AD87" i="346" s="1"/>
  <c r="AD88" i="346" s="1"/>
  <c r="Z81" i="346"/>
  <c r="U81" i="346"/>
  <c r="T81" i="346"/>
  <c r="S81" i="346"/>
  <c r="Q81" i="346"/>
  <c r="K81" i="346"/>
  <c r="AI80" i="346"/>
  <c r="U80" i="346"/>
  <c r="T80" i="346"/>
  <c r="S80" i="346"/>
  <c r="Q80" i="346"/>
  <c r="K80" i="346"/>
  <c r="AI79" i="346"/>
  <c r="U79" i="346"/>
  <c r="T79" i="346"/>
  <c r="S79" i="346"/>
  <c r="Q79" i="346"/>
  <c r="K79" i="346"/>
  <c r="AI78" i="346"/>
  <c r="U78" i="346"/>
  <c r="T78" i="346"/>
  <c r="S78" i="346"/>
  <c r="Q78" i="346"/>
  <c r="K78" i="346"/>
  <c r="U77" i="346"/>
  <c r="T77" i="346"/>
  <c r="S77" i="346"/>
  <c r="Q77" i="346"/>
  <c r="K77" i="346"/>
  <c r="U76" i="346"/>
  <c r="T76" i="346"/>
  <c r="S76" i="346"/>
  <c r="Q76" i="346"/>
  <c r="K76" i="346"/>
  <c r="U75" i="346"/>
  <c r="T75" i="346"/>
  <c r="S75" i="346"/>
  <c r="Q75" i="346"/>
  <c r="K75" i="346"/>
  <c r="U74" i="346"/>
  <c r="T74" i="346"/>
  <c r="S74" i="346"/>
  <c r="Q74" i="346"/>
  <c r="K74" i="346"/>
  <c r="AD73" i="346"/>
  <c r="Z73" i="346"/>
  <c r="U73" i="346"/>
  <c r="T73" i="346"/>
  <c r="S73" i="346"/>
  <c r="Q73" i="346"/>
  <c r="K73" i="346"/>
  <c r="Z72" i="346"/>
  <c r="U72" i="346"/>
  <c r="T72" i="346"/>
  <c r="S72" i="346"/>
  <c r="Q72" i="346"/>
  <c r="K72" i="346"/>
  <c r="U71" i="346"/>
  <c r="T71" i="346"/>
  <c r="S71" i="346"/>
  <c r="Q71" i="346"/>
  <c r="K71" i="346"/>
  <c r="U70" i="346"/>
  <c r="T70" i="346"/>
  <c r="S70" i="346"/>
  <c r="Q70" i="346"/>
  <c r="K70" i="346"/>
  <c r="U69" i="346"/>
  <c r="T69" i="346"/>
  <c r="S69" i="346"/>
  <c r="Q69" i="346"/>
  <c r="K69" i="346"/>
  <c r="U68" i="346"/>
  <c r="T68" i="346"/>
  <c r="S68" i="346"/>
  <c r="Q68" i="346"/>
  <c r="K68" i="346"/>
  <c r="AA67" i="346"/>
  <c r="U67" i="346"/>
  <c r="T67" i="346"/>
  <c r="S67" i="346"/>
  <c r="Q67" i="346"/>
  <c r="K67" i="346"/>
  <c r="U66" i="346"/>
  <c r="T66" i="346"/>
  <c r="S66" i="346"/>
  <c r="Q66" i="346"/>
  <c r="K66" i="346"/>
  <c r="U65" i="346"/>
  <c r="T65" i="346"/>
  <c r="S65" i="346"/>
  <c r="Q65" i="346"/>
  <c r="K65" i="346"/>
  <c r="U64" i="346"/>
  <c r="T64" i="346"/>
  <c r="S64" i="346"/>
  <c r="Q64" i="346"/>
  <c r="K64" i="346"/>
  <c r="U63" i="346"/>
  <c r="T63" i="346"/>
  <c r="S63" i="346"/>
  <c r="Q63" i="346"/>
  <c r="K63" i="346"/>
  <c r="AC62" i="346"/>
  <c r="U62" i="346"/>
  <c r="T62" i="346"/>
  <c r="S62" i="346"/>
  <c r="Q62" i="346"/>
  <c r="K62" i="346"/>
  <c r="U61" i="346"/>
  <c r="T61" i="346"/>
  <c r="S61" i="346"/>
  <c r="Q61" i="346"/>
  <c r="K61" i="346"/>
  <c r="U60" i="346"/>
  <c r="T60" i="346"/>
  <c r="S60" i="346"/>
  <c r="Q60" i="346"/>
  <c r="K60" i="346"/>
  <c r="AB59" i="346"/>
  <c r="AA59" i="346"/>
  <c r="AC79" i="346" s="1"/>
  <c r="U59" i="346"/>
  <c r="T59" i="346"/>
  <c r="S59" i="346"/>
  <c r="Q59" i="346"/>
  <c r="K59" i="346"/>
  <c r="AM58" i="346"/>
  <c r="AB58" i="346"/>
  <c r="AA58" i="346"/>
  <c r="U58" i="346"/>
  <c r="T58" i="346"/>
  <c r="S58" i="346"/>
  <c r="Q58" i="346"/>
  <c r="K58" i="346"/>
  <c r="U57" i="346"/>
  <c r="T57" i="346"/>
  <c r="S57" i="346"/>
  <c r="Q57" i="346"/>
  <c r="K57" i="346"/>
  <c r="U56" i="346"/>
  <c r="T56" i="346"/>
  <c r="S56" i="346"/>
  <c r="Q56" i="346"/>
  <c r="K56" i="346"/>
  <c r="Y55" i="346"/>
  <c r="U55" i="346"/>
  <c r="T55" i="346"/>
  <c r="S55" i="346"/>
  <c r="Q55" i="346"/>
  <c r="K55" i="346"/>
  <c r="U54" i="346"/>
  <c r="T54" i="346"/>
  <c r="S54" i="346"/>
  <c r="Q54" i="346"/>
  <c r="K54" i="346"/>
  <c r="Y53" i="346"/>
  <c r="U53" i="346"/>
  <c r="T53" i="346"/>
  <c r="Q53" i="346"/>
  <c r="S53" i="346" s="1"/>
  <c r="K53" i="346"/>
  <c r="U52" i="346"/>
  <c r="T52" i="346"/>
  <c r="S52" i="346"/>
  <c r="Q52" i="346"/>
  <c r="K52" i="346"/>
  <c r="Y51" i="346"/>
  <c r="U51" i="346"/>
  <c r="T51" i="346"/>
  <c r="S51" i="346"/>
  <c r="Q51" i="346"/>
  <c r="K51" i="346"/>
  <c r="AB50" i="346"/>
  <c r="U50" i="346"/>
  <c r="T50" i="346"/>
  <c r="S50" i="346"/>
  <c r="Q50" i="346"/>
  <c r="K50" i="346"/>
  <c r="Y49" i="346"/>
  <c r="Z49" i="346" s="1"/>
  <c r="U49" i="346"/>
  <c r="T49" i="346"/>
  <c r="S49" i="346"/>
  <c r="Q49" i="346"/>
  <c r="K49" i="346"/>
  <c r="Y48" i="346"/>
  <c r="Z48" i="346" s="1"/>
  <c r="U48" i="346"/>
  <c r="T48" i="346"/>
  <c r="S48" i="346"/>
  <c r="Q48" i="346"/>
  <c r="K48" i="346"/>
  <c r="U47" i="346"/>
  <c r="T47" i="346"/>
  <c r="S47" i="346"/>
  <c r="Q47" i="346"/>
  <c r="K47" i="346"/>
  <c r="U46" i="346"/>
  <c r="T46" i="346"/>
  <c r="Q46" i="346"/>
  <c r="S46" i="346" s="1"/>
  <c r="K46" i="346"/>
  <c r="AB45" i="346"/>
  <c r="AA45" i="346"/>
  <c r="U45" i="346"/>
  <c r="T45" i="346"/>
  <c r="S45" i="346"/>
  <c r="Q45" i="346"/>
  <c r="K45" i="346"/>
  <c r="AB44" i="346"/>
  <c r="AA44" i="346"/>
  <c r="U44" i="346"/>
  <c r="T44" i="346"/>
  <c r="S44" i="346"/>
  <c r="Q44" i="346"/>
  <c r="K44" i="346"/>
  <c r="AB43" i="346"/>
  <c r="AA43" i="346"/>
  <c r="U43" i="346"/>
  <c r="T43" i="346"/>
  <c r="S43" i="346"/>
  <c r="Q43" i="346"/>
  <c r="K43" i="346"/>
  <c r="U42" i="346"/>
  <c r="T42" i="346"/>
  <c r="S42" i="346"/>
  <c r="Q42" i="346"/>
  <c r="K42" i="346"/>
  <c r="U41" i="346"/>
  <c r="T41" i="346"/>
  <c r="S41" i="346"/>
  <c r="Q41" i="346"/>
  <c r="K41" i="346"/>
  <c r="U40" i="346"/>
  <c r="T40" i="346"/>
  <c r="S40" i="346"/>
  <c r="K40" i="346"/>
  <c r="U39" i="346"/>
  <c r="T39" i="346"/>
  <c r="S39" i="346"/>
  <c r="Q39" i="346"/>
  <c r="K39" i="346"/>
  <c r="U38" i="346"/>
  <c r="T38" i="346"/>
  <c r="Q38" i="346"/>
  <c r="S38" i="346" s="1"/>
  <c r="K38" i="346"/>
  <c r="U37" i="346"/>
  <c r="T37" i="346"/>
  <c r="S37" i="346"/>
  <c r="Q37" i="346"/>
  <c r="K37" i="346"/>
  <c r="Z36" i="346"/>
  <c r="U36" i="346"/>
  <c r="T36" i="346"/>
  <c r="S36" i="346"/>
  <c r="Q36" i="346"/>
  <c r="K36" i="346"/>
  <c r="Z35" i="346"/>
  <c r="U35" i="346"/>
  <c r="T35" i="346"/>
  <c r="S35" i="346"/>
  <c r="Q35" i="346"/>
  <c r="K35" i="346"/>
  <c r="AC34" i="346"/>
  <c r="U34" i="346"/>
  <c r="T34" i="346"/>
  <c r="S34" i="346"/>
  <c r="Q34" i="346"/>
  <c r="K34" i="346"/>
  <c r="U33" i="346"/>
  <c r="T33" i="346"/>
  <c r="S33" i="346"/>
  <c r="Q33" i="346"/>
  <c r="K33" i="346"/>
  <c r="U32" i="346"/>
  <c r="T32" i="346"/>
  <c r="S32" i="346"/>
  <c r="Q32" i="346"/>
  <c r="K32" i="346"/>
  <c r="U31" i="346"/>
  <c r="T31" i="346"/>
  <c r="S31" i="346"/>
  <c r="Q31" i="346"/>
  <c r="K31" i="346"/>
  <c r="Z30" i="346"/>
  <c r="U30" i="346"/>
  <c r="T30" i="346"/>
  <c r="S30" i="346"/>
  <c r="Q30" i="346"/>
  <c r="K30" i="346"/>
  <c r="U29" i="346"/>
  <c r="T29" i="346"/>
  <c r="S29" i="346"/>
  <c r="Q29" i="346"/>
  <c r="K29" i="346"/>
  <c r="U28" i="346"/>
  <c r="T28" i="346"/>
  <c r="S28" i="346"/>
  <c r="Q28" i="346"/>
  <c r="K28" i="346"/>
  <c r="U27" i="346"/>
  <c r="T27" i="346"/>
  <c r="S27" i="346"/>
  <c r="Q27" i="346"/>
  <c r="K27" i="346"/>
  <c r="T26" i="346"/>
  <c r="S26" i="346"/>
  <c r="Q26" i="346"/>
  <c r="U26" i="346" s="1"/>
  <c r="K26" i="346"/>
  <c r="U25" i="346"/>
  <c r="T25" i="346"/>
  <c r="Q25" i="346"/>
  <c r="S25" i="346" s="1"/>
  <c r="K25" i="346"/>
  <c r="U24" i="346"/>
  <c r="T24" i="346"/>
  <c r="S24" i="346"/>
  <c r="Q24" i="346"/>
  <c r="K24" i="346"/>
  <c r="U23" i="346"/>
  <c r="T23" i="346"/>
  <c r="S23" i="346"/>
  <c r="Q23" i="346"/>
  <c r="K23" i="346"/>
  <c r="U22" i="346"/>
  <c r="T22" i="346"/>
  <c r="Q22" i="346"/>
  <c r="S22" i="346" s="1"/>
  <c r="K22" i="346"/>
  <c r="U21" i="346"/>
  <c r="T21" i="346"/>
  <c r="S21" i="346"/>
  <c r="Q21" i="346"/>
  <c r="K21" i="346"/>
  <c r="U20" i="346"/>
  <c r="T20" i="346"/>
  <c r="Q20" i="346"/>
  <c r="S20" i="346" s="1"/>
  <c r="K20" i="346"/>
  <c r="U19" i="346"/>
  <c r="T19" i="346"/>
  <c r="Q19" i="346"/>
  <c r="S19" i="346" s="1"/>
  <c r="K19" i="346"/>
  <c r="U18" i="346"/>
  <c r="S18" i="346"/>
  <c r="AB99" i="346" s="1"/>
  <c r="Q18" i="346"/>
  <c r="T18" i="346" s="1"/>
  <c r="AB94" i="346" s="1"/>
  <c r="K18" i="346"/>
  <c r="U17" i="346"/>
  <c r="Q17" i="346"/>
  <c r="S17" i="346" s="1"/>
  <c r="K17" i="346"/>
  <c r="U16" i="346"/>
  <c r="T16" i="346"/>
  <c r="S16" i="346"/>
  <c r="K16" i="346"/>
  <c r="Z15" i="346"/>
  <c r="U15" i="346"/>
  <c r="T15" i="346"/>
  <c r="Q15" i="346"/>
  <c r="S15" i="346" s="1"/>
  <c r="K15" i="346"/>
  <c r="U14" i="346"/>
  <c r="T14" i="346"/>
  <c r="Q14" i="346"/>
  <c r="S14" i="346" s="1"/>
  <c r="K14" i="346"/>
  <c r="U13" i="346"/>
  <c r="Q13" i="346"/>
  <c r="T13" i="346" s="1"/>
  <c r="K13" i="346"/>
  <c r="AC12" i="346"/>
  <c r="AB12" i="346"/>
  <c r="AA12" i="346"/>
  <c r="U12" i="346"/>
  <c r="T12" i="346"/>
  <c r="Q12" i="346"/>
  <c r="S12" i="346" s="1"/>
  <c r="K12" i="346"/>
  <c r="AA11" i="346"/>
  <c r="U11" i="346"/>
  <c r="T11" i="346"/>
  <c r="Q11" i="346"/>
  <c r="S11" i="346" s="1"/>
  <c r="K11" i="346"/>
  <c r="AB10" i="346"/>
  <c r="AC58" i="346" s="1"/>
  <c r="U10" i="346"/>
  <c r="Q10" i="346"/>
  <c r="S10" i="346" s="1"/>
  <c r="K10" i="346"/>
  <c r="AA9" i="346"/>
  <c r="U9" i="346"/>
  <c r="Q9" i="346"/>
  <c r="T9" i="346" s="1"/>
  <c r="K9" i="346"/>
  <c r="U8" i="346"/>
  <c r="T8" i="346"/>
  <c r="Q8" i="346"/>
  <c r="S8" i="346" s="1"/>
  <c r="K8" i="346"/>
  <c r="Z7" i="346"/>
  <c r="U7" i="346"/>
  <c r="Q7" i="346"/>
  <c r="T7" i="346" s="1"/>
  <c r="I105" i="346"/>
  <c r="Z6" i="346"/>
  <c r="U6" i="346"/>
  <c r="T6" i="346"/>
  <c r="Q6" i="346"/>
  <c r="S6" i="346" s="1"/>
  <c r="K6" i="346"/>
  <c r="U5" i="346"/>
  <c r="S5" i="346"/>
  <c r="Q5" i="346"/>
  <c r="T5" i="346" s="1"/>
  <c r="K5" i="346"/>
  <c r="U4" i="346"/>
  <c r="S4" i="346"/>
  <c r="Q4" i="346"/>
  <c r="T4" i="346" s="1"/>
  <c r="K4" i="346"/>
  <c r="U3" i="346"/>
  <c r="S3" i="346"/>
  <c r="Q3" i="346"/>
  <c r="T3" i="346" s="1"/>
  <c r="K3" i="346"/>
  <c r="U2" i="346"/>
  <c r="T2" i="346"/>
  <c r="Q2" i="346"/>
  <c r="S2" i="346" s="1"/>
  <c r="K2" i="346"/>
  <c r="U123" i="345"/>
  <c r="I113" i="345"/>
  <c r="P105" i="345"/>
  <c r="M105" i="345"/>
  <c r="J105" i="345"/>
  <c r="U103" i="345"/>
  <c r="T103" i="345"/>
  <c r="S103" i="345"/>
  <c r="V103" i="345" s="1"/>
  <c r="Q103" i="345"/>
  <c r="K103" i="345"/>
  <c r="AA102" i="345"/>
  <c r="U102" i="345"/>
  <c r="T102" i="345"/>
  <c r="S102" i="345"/>
  <c r="Q102" i="345"/>
  <c r="K102" i="345"/>
  <c r="U101" i="345"/>
  <c r="T101" i="345"/>
  <c r="S101" i="345"/>
  <c r="V101" i="345" s="1"/>
  <c r="Q101" i="345"/>
  <c r="K101" i="345"/>
  <c r="AA100" i="345"/>
  <c r="U100" i="345"/>
  <c r="T100" i="345"/>
  <c r="S100" i="345"/>
  <c r="V100" i="345" s="1"/>
  <c r="Q100" i="345"/>
  <c r="K100" i="345"/>
  <c r="AA99" i="345"/>
  <c r="U99" i="345"/>
  <c r="V99" i="345" s="1"/>
  <c r="T99" i="345"/>
  <c r="S99" i="345"/>
  <c r="Q99" i="345"/>
  <c r="K99" i="345"/>
  <c r="AA98" i="345"/>
  <c r="U98" i="345"/>
  <c r="V98" i="345" s="1"/>
  <c r="T98" i="345"/>
  <c r="S98" i="345"/>
  <c r="Q98" i="345"/>
  <c r="K98" i="345"/>
  <c r="U97" i="345"/>
  <c r="T97" i="345"/>
  <c r="S97" i="345"/>
  <c r="V97" i="345" s="1"/>
  <c r="Q97" i="345"/>
  <c r="K97" i="345"/>
  <c r="U96" i="345"/>
  <c r="T96" i="345"/>
  <c r="V96" i="345" s="1"/>
  <c r="S96" i="345"/>
  <c r="Q96" i="345"/>
  <c r="K96" i="345"/>
  <c r="AA95" i="345"/>
  <c r="U95" i="345"/>
  <c r="T95" i="345"/>
  <c r="S95" i="345"/>
  <c r="Q95" i="345"/>
  <c r="K95" i="345"/>
  <c r="AA94" i="345"/>
  <c r="U94" i="345"/>
  <c r="T94" i="345"/>
  <c r="S94" i="345"/>
  <c r="V94" i="345" s="1"/>
  <c r="Q94" i="345"/>
  <c r="K94" i="345"/>
  <c r="AA93" i="345"/>
  <c r="U93" i="345"/>
  <c r="T93" i="345"/>
  <c r="S93" i="345"/>
  <c r="V93" i="345" s="1"/>
  <c r="Q93" i="345"/>
  <c r="K93" i="345"/>
  <c r="V92" i="345"/>
  <c r="U92" i="345"/>
  <c r="T92" i="345"/>
  <c r="S92" i="345"/>
  <c r="Q92" i="345"/>
  <c r="K92" i="345"/>
  <c r="V91" i="345"/>
  <c r="U91" i="345"/>
  <c r="T91" i="345"/>
  <c r="S91" i="345"/>
  <c r="Q91" i="345"/>
  <c r="K91" i="345"/>
  <c r="U90" i="345"/>
  <c r="T90" i="345"/>
  <c r="S90" i="345"/>
  <c r="Q90" i="345"/>
  <c r="K90" i="345"/>
  <c r="U89" i="345"/>
  <c r="V89" i="345" s="1"/>
  <c r="T89" i="345"/>
  <c r="S89" i="345"/>
  <c r="Q89" i="345"/>
  <c r="K89" i="345"/>
  <c r="U88" i="345"/>
  <c r="T88" i="345"/>
  <c r="S88" i="345"/>
  <c r="V88" i="345" s="1"/>
  <c r="Q88" i="345"/>
  <c r="K88" i="345"/>
  <c r="AE87" i="345"/>
  <c r="AF86" i="345" s="1"/>
  <c r="AA87" i="345"/>
  <c r="AB86" i="345" s="1"/>
  <c r="AC86" i="345" s="1"/>
  <c r="AD86" i="345" s="1"/>
  <c r="AD87" i="345" s="1"/>
  <c r="AD88" i="345" s="1"/>
  <c r="Y87" i="345"/>
  <c r="V87" i="345"/>
  <c r="U87" i="345"/>
  <c r="T87" i="345"/>
  <c r="S87" i="345"/>
  <c r="Q87" i="345"/>
  <c r="K87" i="345"/>
  <c r="AG86" i="345"/>
  <c r="AH86" i="345" s="1"/>
  <c r="AH87" i="345" s="1"/>
  <c r="AH88" i="345" s="1"/>
  <c r="U86" i="345"/>
  <c r="T86" i="345"/>
  <c r="S86" i="345"/>
  <c r="Q86" i="345"/>
  <c r="K86" i="345"/>
  <c r="U85" i="345"/>
  <c r="T85" i="345"/>
  <c r="S85" i="345"/>
  <c r="V85" i="345" s="1"/>
  <c r="Q85" i="345"/>
  <c r="K85" i="345"/>
  <c r="V84" i="345"/>
  <c r="X84" i="345" s="1"/>
  <c r="U84" i="345"/>
  <c r="T84" i="345"/>
  <c r="S84" i="345"/>
  <c r="Q84" i="345"/>
  <c r="K84" i="345"/>
  <c r="O84" i="345" s="1"/>
  <c r="V83" i="345"/>
  <c r="U83" i="345"/>
  <c r="T83" i="345"/>
  <c r="S83" i="345"/>
  <c r="Q83" i="345"/>
  <c r="K83" i="345"/>
  <c r="U82" i="345"/>
  <c r="T82" i="345"/>
  <c r="S82" i="345"/>
  <c r="Q82" i="345"/>
  <c r="O82" i="345"/>
  <c r="K82" i="345"/>
  <c r="AA81" i="345"/>
  <c r="AA86" i="345" s="1"/>
  <c r="Z81" i="345"/>
  <c r="U81" i="345"/>
  <c r="T81" i="345"/>
  <c r="S81" i="345"/>
  <c r="Q81" i="345"/>
  <c r="N81" i="345"/>
  <c r="O81" i="345" s="1"/>
  <c r="K81" i="345"/>
  <c r="AI80" i="345"/>
  <c r="U80" i="345"/>
  <c r="T80" i="345"/>
  <c r="S80" i="345"/>
  <c r="Q80" i="345"/>
  <c r="K80" i="345"/>
  <c r="AI79" i="345"/>
  <c r="V79" i="345"/>
  <c r="U79" i="345"/>
  <c r="T79" i="345"/>
  <c r="S79" i="345"/>
  <c r="Q79" i="345"/>
  <c r="K79" i="345"/>
  <c r="AI78" i="345"/>
  <c r="U78" i="345"/>
  <c r="T78" i="345"/>
  <c r="S78" i="345"/>
  <c r="Q78" i="345"/>
  <c r="K78" i="345"/>
  <c r="V77" i="345"/>
  <c r="U77" i="345"/>
  <c r="T77" i="345"/>
  <c r="S77" i="345"/>
  <c r="Q77" i="345"/>
  <c r="K77" i="345"/>
  <c r="U76" i="345"/>
  <c r="T76" i="345"/>
  <c r="S76" i="345"/>
  <c r="Q76" i="345"/>
  <c r="K76" i="345"/>
  <c r="V75" i="345"/>
  <c r="U75" i="345"/>
  <c r="T75" i="345"/>
  <c r="S75" i="345"/>
  <c r="Q75" i="345"/>
  <c r="K75" i="345"/>
  <c r="U74" i="345"/>
  <c r="T74" i="345"/>
  <c r="S74" i="345"/>
  <c r="Q74" i="345"/>
  <c r="K74" i="345"/>
  <c r="AD73" i="345"/>
  <c r="Z73" i="345"/>
  <c r="U73" i="345"/>
  <c r="T73" i="345"/>
  <c r="V73" i="345" s="1"/>
  <c r="S73" i="345"/>
  <c r="Q73" i="345"/>
  <c r="K73" i="345"/>
  <c r="Z72" i="345"/>
  <c r="U72" i="345"/>
  <c r="T72" i="345"/>
  <c r="V72" i="345" s="1"/>
  <c r="S72" i="345"/>
  <c r="Q72" i="345"/>
  <c r="K72" i="345"/>
  <c r="U71" i="345"/>
  <c r="T71" i="345"/>
  <c r="S71" i="345"/>
  <c r="V71" i="345" s="1"/>
  <c r="Q71" i="345"/>
  <c r="K71" i="345"/>
  <c r="U70" i="345"/>
  <c r="T70" i="345"/>
  <c r="S70" i="345"/>
  <c r="V70" i="345" s="1"/>
  <c r="Q70" i="345"/>
  <c r="K70" i="345"/>
  <c r="U69" i="345"/>
  <c r="V69" i="345" s="1"/>
  <c r="T69" i="345"/>
  <c r="S69" i="345"/>
  <c r="Q69" i="345"/>
  <c r="K69" i="345"/>
  <c r="U68" i="345"/>
  <c r="T68" i="345"/>
  <c r="S68" i="345"/>
  <c r="V68" i="345" s="1"/>
  <c r="Q68" i="345"/>
  <c r="K68" i="345"/>
  <c r="AA67" i="345"/>
  <c r="U67" i="345"/>
  <c r="T67" i="345"/>
  <c r="V67" i="345" s="1"/>
  <c r="S67" i="345"/>
  <c r="Q67" i="345"/>
  <c r="K67" i="345"/>
  <c r="V66" i="345"/>
  <c r="U66" i="345"/>
  <c r="T66" i="345"/>
  <c r="S66" i="345"/>
  <c r="Q66" i="345"/>
  <c r="K66" i="345"/>
  <c r="U65" i="345"/>
  <c r="T65" i="345"/>
  <c r="V65" i="345" s="1"/>
  <c r="S65" i="345"/>
  <c r="Q65" i="345"/>
  <c r="K65" i="345"/>
  <c r="U64" i="345"/>
  <c r="T64" i="345"/>
  <c r="S64" i="345"/>
  <c r="V64" i="345" s="1"/>
  <c r="Q64" i="345"/>
  <c r="K64" i="345"/>
  <c r="U63" i="345"/>
  <c r="T63" i="345"/>
  <c r="V63" i="345" s="1"/>
  <c r="S63" i="345"/>
  <c r="Q63" i="345"/>
  <c r="K63" i="345"/>
  <c r="AC62" i="345"/>
  <c r="AB62" i="345"/>
  <c r="U62" i="345"/>
  <c r="T62" i="345"/>
  <c r="V62" i="345" s="1"/>
  <c r="S62" i="345"/>
  <c r="Q62" i="345"/>
  <c r="K62" i="345"/>
  <c r="AB61" i="345"/>
  <c r="U61" i="345"/>
  <c r="T61" i="345"/>
  <c r="V61" i="345" s="1"/>
  <c r="S61" i="345"/>
  <c r="Q61" i="345"/>
  <c r="K61" i="345"/>
  <c r="U60" i="345"/>
  <c r="T60" i="345"/>
  <c r="V60" i="345" s="1"/>
  <c r="S60" i="345"/>
  <c r="Q60" i="345"/>
  <c r="K60" i="345"/>
  <c r="AB59" i="345"/>
  <c r="AA59" i="345"/>
  <c r="U59" i="345"/>
  <c r="T59" i="345"/>
  <c r="S59" i="345"/>
  <c r="Q59" i="345"/>
  <c r="K59" i="345"/>
  <c r="AM58" i="345"/>
  <c r="AB58" i="345"/>
  <c r="AA58" i="345"/>
  <c r="AC78" i="345" s="1"/>
  <c r="U58" i="345"/>
  <c r="T58" i="345"/>
  <c r="S58" i="345"/>
  <c r="V58" i="345" s="1"/>
  <c r="Q58" i="345"/>
  <c r="K58" i="345"/>
  <c r="U57" i="345"/>
  <c r="T57" i="345"/>
  <c r="S57" i="345"/>
  <c r="Q57" i="345"/>
  <c r="K57" i="345"/>
  <c r="U56" i="345"/>
  <c r="T56" i="345"/>
  <c r="S56" i="345"/>
  <c r="V56" i="345" s="1"/>
  <c r="Q56" i="345"/>
  <c r="K56" i="345"/>
  <c r="Y55" i="345"/>
  <c r="U55" i="345"/>
  <c r="T55" i="345"/>
  <c r="S55" i="345"/>
  <c r="V55" i="345" s="1"/>
  <c r="Q55" i="345"/>
  <c r="K55" i="345"/>
  <c r="U54" i="345"/>
  <c r="T54" i="345"/>
  <c r="S54" i="345"/>
  <c r="Q54" i="345"/>
  <c r="K54" i="345"/>
  <c r="Y53" i="345"/>
  <c r="V53" i="345"/>
  <c r="U53" i="345"/>
  <c r="T53" i="345"/>
  <c r="Q53" i="345"/>
  <c r="S53" i="345" s="1"/>
  <c r="K53" i="345"/>
  <c r="V52" i="345"/>
  <c r="U52" i="345"/>
  <c r="T52" i="345"/>
  <c r="S52" i="345"/>
  <c r="Q52" i="345"/>
  <c r="K52" i="345"/>
  <c r="R52" i="345" s="1"/>
  <c r="Y51" i="345"/>
  <c r="U51" i="345"/>
  <c r="T51" i="345"/>
  <c r="S51" i="345"/>
  <c r="Q51" i="345"/>
  <c r="K51" i="345"/>
  <c r="AB50" i="345"/>
  <c r="U50" i="345"/>
  <c r="T50" i="345"/>
  <c r="S50" i="345"/>
  <c r="V50" i="345" s="1"/>
  <c r="Q50" i="345"/>
  <c r="K50" i="345"/>
  <c r="Z49" i="345"/>
  <c r="Y49" i="345"/>
  <c r="U49" i="345"/>
  <c r="T49" i="345"/>
  <c r="V49" i="345" s="1"/>
  <c r="S49" i="345"/>
  <c r="Q49" i="345"/>
  <c r="K49" i="345"/>
  <c r="Z48" i="345"/>
  <c r="Y48" i="345"/>
  <c r="U48" i="345"/>
  <c r="T48" i="345"/>
  <c r="S48" i="345"/>
  <c r="Q48" i="345"/>
  <c r="K48" i="345"/>
  <c r="U47" i="345"/>
  <c r="T47" i="345"/>
  <c r="S47" i="345"/>
  <c r="Q47" i="345"/>
  <c r="K47" i="345"/>
  <c r="U46" i="345"/>
  <c r="T46" i="345"/>
  <c r="S46" i="345"/>
  <c r="Q46" i="345"/>
  <c r="K46" i="345"/>
  <c r="AB45" i="345"/>
  <c r="AA45" i="345"/>
  <c r="V45" i="345"/>
  <c r="U45" i="345"/>
  <c r="T45" i="345"/>
  <c r="S45" i="345"/>
  <c r="Q45" i="345"/>
  <c r="K45" i="345"/>
  <c r="AC44" i="345"/>
  <c r="AB44" i="345"/>
  <c r="AA44" i="345"/>
  <c r="U44" i="345"/>
  <c r="T44" i="345"/>
  <c r="S44" i="345"/>
  <c r="Q44" i="345"/>
  <c r="K44" i="345"/>
  <c r="AB43" i="345"/>
  <c r="AA43" i="345"/>
  <c r="V43" i="345"/>
  <c r="U43" i="345"/>
  <c r="T43" i="345"/>
  <c r="S43" i="345"/>
  <c r="Q43" i="345"/>
  <c r="K43" i="345"/>
  <c r="AA42" i="345"/>
  <c r="U42" i="345"/>
  <c r="T42" i="345"/>
  <c r="S42" i="345"/>
  <c r="V42" i="345" s="1"/>
  <c r="Q42" i="345"/>
  <c r="K42" i="345"/>
  <c r="U41" i="345"/>
  <c r="T41" i="345"/>
  <c r="S41" i="345"/>
  <c r="V41" i="345" s="1"/>
  <c r="Q41" i="345"/>
  <c r="K41" i="345"/>
  <c r="V40" i="345"/>
  <c r="U40" i="345"/>
  <c r="T40" i="345"/>
  <c r="S40" i="345"/>
  <c r="K40" i="345"/>
  <c r="U39" i="345"/>
  <c r="T39" i="345"/>
  <c r="V39" i="345" s="1"/>
  <c r="S39" i="345"/>
  <c r="Q39" i="345"/>
  <c r="K39" i="345"/>
  <c r="U38" i="345"/>
  <c r="T38" i="345"/>
  <c r="Q38" i="345"/>
  <c r="S38" i="345" s="1"/>
  <c r="V38" i="345" s="1"/>
  <c r="K38" i="345"/>
  <c r="V37" i="345"/>
  <c r="U37" i="345"/>
  <c r="T37" i="345"/>
  <c r="S37" i="345"/>
  <c r="Q37" i="345"/>
  <c r="K37" i="345"/>
  <c r="Z36" i="345"/>
  <c r="U36" i="345"/>
  <c r="T36" i="345"/>
  <c r="S36" i="345"/>
  <c r="V36" i="345" s="1"/>
  <c r="Q36" i="345"/>
  <c r="K36" i="345"/>
  <c r="Z35" i="345"/>
  <c r="Z37" i="345" s="1"/>
  <c r="V35" i="345"/>
  <c r="U35" i="345"/>
  <c r="T35" i="345"/>
  <c r="S35" i="345"/>
  <c r="Q35" i="345"/>
  <c r="K35" i="345"/>
  <c r="AC34" i="345"/>
  <c r="V34" i="345"/>
  <c r="U34" i="345"/>
  <c r="T34" i="345"/>
  <c r="S34" i="345"/>
  <c r="Q34" i="345"/>
  <c r="K34" i="345"/>
  <c r="U33" i="345"/>
  <c r="T33" i="345"/>
  <c r="S33" i="345"/>
  <c r="Q33" i="345"/>
  <c r="K33" i="345"/>
  <c r="U32" i="345"/>
  <c r="T32" i="345"/>
  <c r="S32" i="345"/>
  <c r="V32" i="345" s="1"/>
  <c r="Q32" i="345"/>
  <c r="K32" i="345"/>
  <c r="U31" i="345"/>
  <c r="T31" i="345"/>
  <c r="S31" i="345"/>
  <c r="V31" i="345" s="1"/>
  <c r="Q31" i="345"/>
  <c r="K31" i="345"/>
  <c r="Z30" i="345"/>
  <c r="V30" i="345"/>
  <c r="U30" i="345"/>
  <c r="T30" i="345"/>
  <c r="S30" i="345"/>
  <c r="Q30" i="345"/>
  <c r="K30" i="345"/>
  <c r="U29" i="345"/>
  <c r="T29" i="345"/>
  <c r="S29" i="345"/>
  <c r="Q29" i="345"/>
  <c r="K29" i="345"/>
  <c r="U28" i="345"/>
  <c r="T28" i="345"/>
  <c r="S28" i="345"/>
  <c r="Q28" i="345"/>
  <c r="K28" i="345"/>
  <c r="U27" i="345"/>
  <c r="T27" i="345"/>
  <c r="S27" i="345"/>
  <c r="Q27" i="345"/>
  <c r="K27" i="345"/>
  <c r="U26" i="345"/>
  <c r="AB102" i="345" s="1"/>
  <c r="T26" i="345"/>
  <c r="S26" i="345"/>
  <c r="Q26" i="345"/>
  <c r="K26" i="345"/>
  <c r="U25" i="345"/>
  <c r="V25" i="345" s="1"/>
  <c r="T25" i="345"/>
  <c r="Q25" i="345"/>
  <c r="S25" i="345" s="1"/>
  <c r="K25" i="345"/>
  <c r="U24" i="345"/>
  <c r="T24" i="345"/>
  <c r="S24" i="345"/>
  <c r="Q24" i="345"/>
  <c r="K24" i="345"/>
  <c r="U23" i="345"/>
  <c r="V23" i="345" s="1"/>
  <c r="T23" i="345"/>
  <c r="S23" i="345"/>
  <c r="Q23" i="345"/>
  <c r="K23" i="345"/>
  <c r="U22" i="345"/>
  <c r="T22" i="345"/>
  <c r="Q22" i="345"/>
  <c r="S22" i="345" s="1"/>
  <c r="K22" i="345"/>
  <c r="U21" i="345"/>
  <c r="T21" i="345"/>
  <c r="S21" i="345"/>
  <c r="V21" i="345" s="1"/>
  <c r="Q21" i="345"/>
  <c r="K21" i="345"/>
  <c r="U20" i="345"/>
  <c r="T20" i="345"/>
  <c r="Q20" i="345"/>
  <c r="S20" i="345" s="1"/>
  <c r="K20" i="345"/>
  <c r="U19" i="345"/>
  <c r="T19" i="345"/>
  <c r="Q19" i="345"/>
  <c r="S19" i="345" s="1"/>
  <c r="K19" i="345"/>
  <c r="U18" i="345"/>
  <c r="T18" i="345"/>
  <c r="AB94" i="345" s="1"/>
  <c r="S18" i="345"/>
  <c r="Q18" i="345"/>
  <c r="K18" i="345"/>
  <c r="U17" i="345"/>
  <c r="Q17" i="345"/>
  <c r="T17" i="345" s="1"/>
  <c r="K17" i="345"/>
  <c r="Z16" i="345"/>
  <c r="AA16" i="345" s="1"/>
  <c r="U16" i="345"/>
  <c r="V16" i="345" s="1"/>
  <c r="T16" i="345"/>
  <c r="S16" i="345"/>
  <c r="K16" i="345"/>
  <c r="Z15" i="345"/>
  <c r="U15" i="345"/>
  <c r="T15" i="345"/>
  <c r="Q15" i="345"/>
  <c r="S15" i="345" s="1"/>
  <c r="V15" i="345" s="1"/>
  <c r="K15" i="345"/>
  <c r="U14" i="345"/>
  <c r="T14" i="345"/>
  <c r="Q14" i="345"/>
  <c r="S14" i="345" s="1"/>
  <c r="V14" i="345" s="1"/>
  <c r="K14" i="345"/>
  <c r="U13" i="345"/>
  <c r="Q13" i="345"/>
  <c r="S13" i="345" s="1"/>
  <c r="K13" i="345"/>
  <c r="AC12" i="345"/>
  <c r="AB12" i="345"/>
  <c r="AA12" i="345"/>
  <c r="U12" i="345"/>
  <c r="T12" i="345"/>
  <c r="Q12" i="345"/>
  <c r="S12" i="345" s="1"/>
  <c r="K12" i="345"/>
  <c r="AA11" i="345"/>
  <c r="U11" i="345"/>
  <c r="T11" i="345"/>
  <c r="Q11" i="345"/>
  <c r="S11" i="345" s="1"/>
  <c r="K11" i="345"/>
  <c r="AB10" i="345"/>
  <c r="AA10" i="345"/>
  <c r="Z10" i="345"/>
  <c r="AK79" i="345" s="1"/>
  <c r="U10" i="345"/>
  <c r="Q10" i="345"/>
  <c r="T10" i="345" s="1"/>
  <c r="K10" i="345"/>
  <c r="AA9" i="345"/>
  <c r="U9" i="345"/>
  <c r="Q9" i="345"/>
  <c r="T9" i="345" s="1"/>
  <c r="K9" i="345"/>
  <c r="U8" i="345"/>
  <c r="T8" i="345"/>
  <c r="Q8" i="345"/>
  <c r="S8" i="345" s="1"/>
  <c r="K8" i="345"/>
  <c r="Z7" i="345"/>
  <c r="U7" i="345"/>
  <c r="Q7" i="345"/>
  <c r="S7" i="345" s="1"/>
  <c r="K7" i="345"/>
  <c r="I7" i="345"/>
  <c r="I105" i="345" s="1"/>
  <c r="H7" i="345"/>
  <c r="Z6" i="345"/>
  <c r="U6" i="345"/>
  <c r="T6" i="345"/>
  <c r="Q6" i="345"/>
  <c r="S6" i="345" s="1"/>
  <c r="K6" i="345"/>
  <c r="U5" i="345"/>
  <c r="S5" i="345"/>
  <c r="Q5" i="345"/>
  <c r="T5" i="345" s="1"/>
  <c r="K5" i="345"/>
  <c r="U4" i="345"/>
  <c r="T4" i="345"/>
  <c r="V4" i="345" s="1"/>
  <c r="S4" i="345"/>
  <c r="Q4" i="345"/>
  <c r="K4" i="345"/>
  <c r="AE3" i="345"/>
  <c r="AD3" i="345"/>
  <c r="AA60" i="345" s="1"/>
  <c r="AC80" i="345" s="1"/>
  <c r="U3" i="345"/>
  <c r="T3" i="345"/>
  <c r="S3" i="345"/>
  <c r="V3" i="345" s="1"/>
  <c r="Q3" i="345"/>
  <c r="K3" i="345"/>
  <c r="U2" i="345"/>
  <c r="T2" i="345"/>
  <c r="Q2" i="345"/>
  <c r="K2" i="345"/>
  <c r="AD3" i="344"/>
  <c r="X50" i="347" l="1"/>
  <c r="W51" i="347"/>
  <c r="W52" i="347" s="1"/>
  <c r="W53" i="347" s="1"/>
  <c r="V41" i="346"/>
  <c r="V101" i="346"/>
  <c r="V76" i="346"/>
  <c r="V81" i="346"/>
  <c r="V39" i="346"/>
  <c r="V42" i="346"/>
  <c r="V82" i="346"/>
  <c r="V72" i="346"/>
  <c r="V77" i="346"/>
  <c r="V79" i="346"/>
  <c r="V98" i="346"/>
  <c r="V102" i="346"/>
  <c r="V80" i="346"/>
  <c r="V91" i="346"/>
  <c r="V100" i="346"/>
  <c r="V51" i="346"/>
  <c r="V58" i="346"/>
  <c r="V59" i="346"/>
  <c r="V61" i="346"/>
  <c r="V74" i="346"/>
  <c r="V87" i="346"/>
  <c r="V88" i="346"/>
  <c r="V103" i="346"/>
  <c r="V21" i="346"/>
  <c r="V40" i="346"/>
  <c r="V64" i="346"/>
  <c r="V66" i="346"/>
  <c r="V69" i="346"/>
  <c r="V86" i="346"/>
  <c r="V89" i="346"/>
  <c r="AC44" i="346"/>
  <c r="V48" i="346"/>
  <c r="V57" i="346"/>
  <c r="V63" i="346"/>
  <c r="V67" i="346"/>
  <c r="N94" i="346"/>
  <c r="O99" i="346" s="1"/>
  <c r="V99" i="346"/>
  <c r="V23" i="346"/>
  <c r="V65" i="346"/>
  <c r="V68" i="346"/>
  <c r="V78" i="346"/>
  <c r="V85" i="346"/>
  <c r="V90" i="346"/>
  <c r="V92" i="346"/>
  <c r="V94" i="346"/>
  <c r="V95" i="346"/>
  <c r="V96" i="346"/>
  <c r="V97" i="346"/>
  <c r="V52" i="346"/>
  <c r="V34" i="346"/>
  <c r="V49" i="346"/>
  <c r="V50" i="346"/>
  <c r="V31" i="346"/>
  <c r="V32" i="346"/>
  <c r="AC45" i="346"/>
  <c r="V54" i="346"/>
  <c r="AB102" i="346"/>
  <c r="V37" i="346"/>
  <c r="V56" i="346"/>
  <c r="V44" i="346"/>
  <c r="V27" i="346"/>
  <c r="V22" i="346"/>
  <c r="V6" i="346"/>
  <c r="V19" i="346"/>
  <c r="V29" i="346"/>
  <c r="V3" i="346"/>
  <c r="T10" i="346"/>
  <c r="V10" i="346" s="1"/>
  <c r="V14" i="346"/>
  <c r="V11" i="346"/>
  <c r="V4" i="346"/>
  <c r="V12" i="346"/>
  <c r="V20" i="346"/>
  <c r="V24" i="346"/>
  <c r="V25" i="346"/>
  <c r="V5" i="346"/>
  <c r="AC35" i="346"/>
  <c r="AD34" i="346"/>
  <c r="AC36" i="346"/>
  <c r="U105" i="346"/>
  <c r="AD4" i="346" s="1"/>
  <c r="AD5" i="346" s="1"/>
  <c r="AA34" i="346" s="1"/>
  <c r="AB34" i="346" s="1"/>
  <c r="AA60" i="346"/>
  <c r="AA61" i="346" s="1"/>
  <c r="AA36" i="346"/>
  <c r="AB36" i="346" s="1"/>
  <c r="AD7" i="346"/>
  <c r="AA15" i="346"/>
  <c r="N27" i="346"/>
  <c r="O42" i="346" s="1"/>
  <c r="Z10" i="346"/>
  <c r="V33" i="346"/>
  <c r="V43" i="346"/>
  <c r="N50" i="346"/>
  <c r="R52" i="346"/>
  <c r="R50" i="346"/>
  <c r="Q105" i="346"/>
  <c r="V2" i="346"/>
  <c r="AE3" i="346"/>
  <c r="H105" i="346"/>
  <c r="AA97" i="346"/>
  <c r="AA42" i="346"/>
  <c r="V8" i="346"/>
  <c r="S9" i="346"/>
  <c r="V9" i="346" s="1"/>
  <c r="S13" i="346"/>
  <c r="V13" i="346" s="1"/>
  <c r="AB93" i="346"/>
  <c r="Z16" i="346"/>
  <c r="AA16" i="346" s="1"/>
  <c r="V18" i="346"/>
  <c r="V26" i="346"/>
  <c r="O32" i="346"/>
  <c r="V36" i="346"/>
  <c r="AB92" i="346"/>
  <c r="K7" i="346"/>
  <c r="S7" i="346"/>
  <c r="V7" i="346" s="1"/>
  <c r="V15" i="346"/>
  <c r="V16" i="346"/>
  <c r="T17" i="346"/>
  <c r="V17" i="346" s="1"/>
  <c r="V28" i="346"/>
  <c r="V35" i="346"/>
  <c r="Z37" i="346"/>
  <c r="V46" i="346"/>
  <c r="V60" i="346"/>
  <c r="AC61" i="346"/>
  <c r="AA69" i="346" s="1"/>
  <c r="N81" i="346"/>
  <c r="O81" i="346" s="1"/>
  <c r="AB98" i="346"/>
  <c r="V30" i="346"/>
  <c r="V38" i="346"/>
  <c r="V45" i="346"/>
  <c r="V55" i="346"/>
  <c r="N56" i="346"/>
  <c r="O69" i="346" s="1"/>
  <c r="AB42" i="346"/>
  <c r="AB62" i="346"/>
  <c r="AB61" i="346"/>
  <c r="O96" i="346"/>
  <c r="V47" i="346"/>
  <c r="R54" i="346"/>
  <c r="V62" i="346"/>
  <c r="V71" i="346"/>
  <c r="V73" i="346"/>
  <c r="V75" i="346"/>
  <c r="V84" i="346"/>
  <c r="X84" i="346" s="1"/>
  <c r="AC43" i="346"/>
  <c r="V53" i="346"/>
  <c r="AC78" i="346"/>
  <c r="V70" i="346"/>
  <c r="V83" i="346"/>
  <c r="N85" i="346"/>
  <c r="O86" i="346" s="1"/>
  <c r="V93" i="346"/>
  <c r="V29" i="345"/>
  <c r="T13" i="345"/>
  <c r="V13" i="345" s="1"/>
  <c r="V22" i="345"/>
  <c r="V24" i="345"/>
  <c r="V28" i="345"/>
  <c r="T7" i="345"/>
  <c r="V7" i="345" s="1"/>
  <c r="V19" i="345"/>
  <c r="V20" i="345"/>
  <c r="U105" i="345"/>
  <c r="AD4" i="345" s="1"/>
  <c r="Z60" i="345" s="1"/>
  <c r="V27" i="345"/>
  <c r="AC45" i="345"/>
  <c r="V5" i="345"/>
  <c r="V6" i="345"/>
  <c r="V11" i="345"/>
  <c r="O32" i="345"/>
  <c r="O49" i="345"/>
  <c r="Q105" i="345"/>
  <c r="H105" i="345"/>
  <c r="AA97" i="345"/>
  <c r="V8" i="345"/>
  <c r="AD34" i="345"/>
  <c r="AC35" i="345"/>
  <c r="AC36" i="345"/>
  <c r="N85" i="345"/>
  <c r="K105" i="345"/>
  <c r="K108" i="345" s="1"/>
  <c r="K110" i="345" s="1"/>
  <c r="O44" i="345"/>
  <c r="S2" i="345"/>
  <c r="S9" i="345"/>
  <c r="V9" i="345" s="1"/>
  <c r="S10" i="345"/>
  <c r="V10" i="345" s="1"/>
  <c r="AC61" i="345"/>
  <c r="AA68" i="345" s="1"/>
  <c r="AC58" i="345"/>
  <c r="N27" i="345"/>
  <c r="O31" i="345"/>
  <c r="O33" i="345"/>
  <c r="N2" i="345"/>
  <c r="O28" i="345" s="1"/>
  <c r="AB92" i="345"/>
  <c r="V12" i="345"/>
  <c r="AB99" i="345"/>
  <c r="V18" i="345"/>
  <c r="O36" i="345"/>
  <c r="O42" i="345"/>
  <c r="AA69" i="345"/>
  <c r="V33" i="345"/>
  <c r="N94" i="345"/>
  <c r="AA92" i="345"/>
  <c r="AB42" i="345"/>
  <c r="AC42" i="345" s="1"/>
  <c r="AD7" i="345"/>
  <c r="Z14" i="345"/>
  <c r="AA15" i="345"/>
  <c r="AB98" i="345"/>
  <c r="S17" i="345"/>
  <c r="V17" i="345" s="1"/>
  <c r="V26" i="345"/>
  <c r="O30" i="345"/>
  <c r="O35" i="345"/>
  <c r="AA36" i="345"/>
  <c r="AB36" i="345" s="1"/>
  <c r="O37" i="345"/>
  <c r="AC43" i="345"/>
  <c r="O45" i="345"/>
  <c r="V47" i="345"/>
  <c r="AB47" i="345"/>
  <c r="V48" i="345"/>
  <c r="V54" i="345"/>
  <c r="N56" i="345"/>
  <c r="O62" i="345" s="1"/>
  <c r="V78" i="345"/>
  <c r="V86" i="345"/>
  <c r="AB93" i="345"/>
  <c r="O38" i="345"/>
  <c r="V44" i="345"/>
  <c r="V46" i="345"/>
  <c r="R54" i="345"/>
  <c r="AA62" i="345"/>
  <c r="AC79" i="345"/>
  <c r="AC81" i="345" s="1"/>
  <c r="AA61" i="345"/>
  <c r="O87" i="345"/>
  <c r="O50" i="345"/>
  <c r="R50" i="345"/>
  <c r="R105" i="345" s="1"/>
  <c r="V57" i="345"/>
  <c r="O58" i="345"/>
  <c r="V59" i="345"/>
  <c r="V81" i="345"/>
  <c r="V74" i="345"/>
  <c r="V82" i="345"/>
  <c r="O83" i="345"/>
  <c r="O85" i="345"/>
  <c r="V90" i="345"/>
  <c r="V95" i="345"/>
  <c r="N50" i="345"/>
  <c r="V51" i="345"/>
  <c r="V76" i="345"/>
  <c r="V80" i="345"/>
  <c r="V102" i="345"/>
  <c r="I7" i="344"/>
  <c r="H7" i="344"/>
  <c r="U123" i="344"/>
  <c r="I113" i="344"/>
  <c r="P105" i="344"/>
  <c r="M105" i="344"/>
  <c r="J105" i="344"/>
  <c r="U103" i="344"/>
  <c r="T103" i="344"/>
  <c r="S103" i="344"/>
  <c r="Q103" i="344"/>
  <c r="K103" i="344"/>
  <c r="AA102" i="344"/>
  <c r="U102" i="344"/>
  <c r="T102" i="344"/>
  <c r="S102" i="344"/>
  <c r="Q102" i="344"/>
  <c r="K102" i="344"/>
  <c r="U101" i="344"/>
  <c r="T101" i="344"/>
  <c r="S101" i="344"/>
  <c r="Q101" i="344"/>
  <c r="K101" i="344"/>
  <c r="AA100" i="344"/>
  <c r="U100" i="344"/>
  <c r="T100" i="344"/>
  <c r="S100" i="344"/>
  <c r="Q100" i="344"/>
  <c r="K100" i="344"/>
  <c r="AA99" i="344"/>
  <c r="U99" i="344"/>
  <c r="T99" i="344"/>
  <c r="S99" i="344"/>
  <c r="Q99" i="344"/>
  <c r="K99" i="344"/>
  <c r="AA98" i="344"/>
  <c r="U98" i="344"/>
  <c r="T98" i="344"/>
  <c r="S98" i="344"/>
  <c r="Q98" i="344"/>
  <c r="K98" i="344"/>
  <c r="U97" i="344"/>
  <c r="T97" i="344"/>
  <c r="S97" i="344"/>
  <c r="Q97" i="344"/>
  <c r="K97" i="344"/>
  <c r="U96" i="344"/>
  <c r="T96" i="344"/>
  <c r="S96" i="344"/>
  <c r="Q96" i="344"/>
  <c r="K96" i="344"/>
  <c r="AA95" i="344"/>
  <c r="U95" i="344"/>
  <c r="T95" i="344"/>
  <c r="S95" i="344"/>
  <c r="Q95" i="344"/>
  <c r="K95" i="344"/>
  <c r="AA94" i="344"/>
  <c r="U94" i="344"/>
  <c r="T94" i="344"/>
  <c r="S94" i="344"/>
  <c r="Q94" i="344"/>
  <c r="K94" i="344"/>
  <c r="AA93" i="344"/>
  <c r="U93" i="344"/>
  <c r="T93" i="344"/>
  <c r="S93" i="344"/>
  <c r="Q93" i="344"/>
  <c r="K93" i="344"/>
  <c r="U92" i="344"/>
  <c r="T92" i="344"/>
  <c r="S92" i="344"/>
  <c r="Q92" i="344"/>
  <c r="K92" i="344"/>
  <c r="U91" i="344"/>
  <c r="T91" i="344"/>
  <c r="S91" i="344"/>
  <c r="Q91" i="344"/>
  <c r="K91" i="344"/>
  <c r="U90" i="344"/>
  <c r="T90" i="344"/>
  <c r="S90" i="344"/>
  <c r="Q90" i="344"/>
  <c r="K90" i="344"/>
  <c r="U89" i="344"/>
  <c r="T89" i="344"/>
  <c r="S89" i="344"/>
  <c r="Q89" i="344"/>
  <c r="K89" i="344"/>
  <c r="U88" i="344"/>
  <c r="T88" i="344"/>
  <c r="S88" i="344"/>
  <c r="Q88" i="344"/>
  <c r="K88" i="344"/>
  <c r="AE87" i="344"/>
  <c r="AF86" i="344" s="1"/>
  <c r="AA87" i="344"/>
  <c r="Y87" i="344"/>
  <c r="U87" i="344"/>
  <c r="T87" i="344"/>
  <c r="S87" i="344"/>
  <c r="Q87" i="344"/>
  <c r="K87" i="344"/>
  <c r="AG86" i="344"/>
  <c r="AH86" i="344" s="1"/>
  <c r="AH87" i="344" s="1"/>
  <c r="AH88" i="344" s="1"/>
  <c r="U86" i="344"/>
  <c r="T86" i="344"/>
  <c r="S86" i="344"/>
  <c r="Q86" i="344"/>
  <c r="K86" i="344"/>
  <c r="U85" i="344"/>
  <c r="T85" i="344"/>
  <c r="S85" i="344"/>
  <c r="Q85" i="344"/>
  <c r="K85" i="344"/>
  <c r="U84" i="344"/>
  <c r="T84" i="344"/>
  <c r="S84" i="344"/>
  <c r="Q84" i="344"/>
  <c r="K84" i="344"/>
  <c r="U83" i="344"/>
  <c r="T83" i="344"/>
  <c r="S83" i="344"/>
  <c r="Q83" i="344"/>
  <c r="K83" i="344"/>
  <c r="U82" i="344"/>
  <c r="T82" i="344"/>
  <c r="S82" i="344"/>
  <c r="Q82" i="344"/>
  <c r="K82" i="344"/>
  <c r="AA81" i="344"/>
  <c r="AA86" i="344" s="1"/>
  <c r="AB86" i="344" s="1"/>
  <c r="AC86" i="344" s="1"/>
  <c r="AD86" i="344" s="1"/>
  <c r="AD87" i="344" s="1"/>
  <c r="AD88" i="344" s="1"/>
  <c r="Z81" i="344"/>
  <c r="U81" i="344"/>
  <c r="T81" i="344"/>
  <c r="S81" i="344"/>
  <c r="Q81" i="344"/>
  <c r="K81" i="344"/>
  <c r="AI80" i="344"/>
  <c r="U80" i="344"/>
  <c r="T80" i="344"/>
  <c r="S80" i="344"/>
  <c r="Q80" i="344"/>
  <c r="K80" i="344"/>
  <c r="AI79" i="344"/>
  <c r="U79" i="344"/>
  <c r="T79" i="344"/>
  <c r="S79" i="344"/>
  <c r="Q79" i="344"/>
  <c r="K79" i="344"/>
  <c r="AI78" i="344"/>
  <c r="U78" i="344"/>
  <c r="T78" i="344"/>
  <c r="S78" i="344"/>
  <c r="Q78" i="344"/>
  <c r="K78" i="344"/>
  <c r="U77" i="344"/>
  <c r="T77" i="344"/>
  <c r="S77" i="344"/>
  <c r="Q77" i="344"/>
  <c r="K77" i="344"/>
  <c r="U76" i="344"/>
  <c r="T76" i="344"/>
  <c r="S76" i="344"/>
  <c r="Q76" i="344"/>
  <c r="K76" i="344"/>
  <c r="U75" i="344"/>
  <c r="T75" i="344"/>
  <c r="S75" i="344"/>
  <c r="Q75" i="344"/>
  <c r="K75" i="344"/>
  <c r="U74" i="344"/>
  <c r="T74" i="344"/>
  <c r="S74" i="344"/>
  <c r="Q74" i="344"/>
  <c r="K74" i="344"/>
  <c r="AD73" i="344"/>
  <c r="Z73" i="344"/>
  <c r="U73" i="344"/>
  <c r="T73" i="344"/>
  <c r="S73" i="344"/>
  <c r="Q73" i="344"/>
  <c r="K73" i="344"/>
  <c r="Z72" i="344"/>
  <c r="U72" i="344"/>
  <c r="T72" i="344"/>
  <c r="S72" i="344"/>
  <c r="Q72" i="344"/>
  <c r="K72" i="344"/>
  <c r="U71" i="344"/>
  <c r="T71" i="344"/>
  <c r="S71" i="344"/>
  <c r="Q71" i="344"/>
  <c r="K71" i="344"/>
  <c r="U70" i="344"/>
  <c r="T70" i="344"/>
  <c r="S70" i="344"/>
  <c r="Q70" i="344"/>
  <c r="K70" i="344"/>
  <c r="U69" i="344"/>
  <c r="T69" i="344"/>
  <c r="S69" i="344"/>
  <c r="Q69" i="344"/>
  <c r="K69" i="344"/>
  <c r="U68" i="344"/>
  <c r="T68" i="344"/>
  <c r="S68" i="344"/>
  <c r="Q68" i="344"/>
  <c r="K68" i="344"/>
  <c r="AA67" i="344"/>
  <c r="U67" i="344"/>
  <c r="T67" i="344"/>
  <c r="S67" i="344"/>
  <c r="Q67" i="344"/>
  <c r="K67" i="344"/>
  <c r="U66" i="344"/>
  <c r="T66" i="344"/>
  <c r="S66" i="344"/>
  <c r="Q66" i="344"/>
  <c r="K66" i="344"/>
  <c r="U65" i="344"/>
  <c r="T65" i="344"/>
  <c r="S65" i="344"/>
  <c r="Q65" i="344"/>
  <c r="K65" i="344"/>
  <c r="U64" i="344"/>
  <c r="T64" i="344"/>
  <c r="S64" i="344"/>
  <c r="Q64" i="344"/>
  <c r="K64" i="344"/>
  <c r="U63" i="344"/>
  <c r="T63" i="344"/>
  <c r="S63" i="344"/>
  <c r="Q63" i="344"/>
  <c r="K63" i="344"/>
  <c r="AC62" i="344"/>
  <c r="U62" i="344"/>
  <c r="T62" i="344"/>
  <c r="S62" i="344"/>
  <c r="Q62" i="344"/>
  <c r="K62" i="344"/>
  <c r="U61" i="344"/>
  <c r="T61" i="344"/>
  <c r="S61" i="344"/>
  <c r="Q61" i="344"/>
  <c r="K61" i="344"/>
  <c r="AH60" i="344"/>
  <c r="AI59" i="344" s="1"/>
  <c r="AJ59" i="344" s="1"/>
  <c r="AK59" i="344" s="1"/>
  <c r="AA60" i="344"/>
  <c r="AB47" i="344" s="1"/>
  <c r="U60" i="344"/>
  <c r="T60" i="344"/>
  <c r="S60" i="344"/>
  <c r="Q60" i="344"/>
  <c r="K60" i="344"/>
  <c r="AB59" i="344"/>
  <c r="AA59" i="344"/>
  <c r="U59" i="344"/>
  <c r="T59" i="344"/>
  <c r="S59" i="344"/>
  <c r="Q59" i="344"/>
  <c r="K59" i="344"/>
  <c r="AB58" i="344"/>
  <c r="AA58" i="344"/>
  <c r="AC78" i="344" s="1"/>
  <c r="U58" i="344"/>
  <c r="T58" i="344"/>
  <c r="S58" i="344"/>
  <c r="Q58" i="344"/>
  <c r="K58" i="344"/>
  <c r="U57" i="344"/>
  <c r="T57" i="344"/>
  <c r="S57" i="344"/>
  <c r="Q57" i="344"/>
  <c r="K57" i="344"/>
  <c r="U56" i="344"/>
  <c r="T56" i="344"/>
  <c r="S56" i="344"/>
  <c r="Q56" i="344"/>
  <c r="K56" i="344"/>
  <c r="Y55" i="344"/>
  <c r="U55" i="344"/>
  <c r="T55" i="344"/>
  <c r="S55" i="344"/>
  <c r="Q55" i="344"/>
  <c r="K55" i="344"/>
  <c r="U54" i="344"/>
  <c r="T54" i="344"/>
  <c r="S54" i="344"/>
  <c r="Q54" i="344"/>
  <c r="K54" i="344"/>
  <c r="Y53" i="344"/>
  <c r="U53" i="344"/>
  <c r="T53" i="344"/>
  <c r="Q53" i="344"/>
  <c r="S53" i="344" s="1"/>
  <c r="K53" i="344"/>
  <c r="U52" i="344"/>
  <c r="T52" i="344"/>
  <c r="S52" i="344"/>
  <c r="Q52" i="344"/>
  <c r="K52" i="344"/>
  <c r="Y51" i="344"/>
  <c r="U51" i="344"/>
  <c r="T51" i="344"/>
  <c r="S51" i="344"/>
  <c r="Q51" i="344"/>
  <c r="K51" i="344"/>
  <c r="AB50" i="344"/>
  <c r="U50" i="344"/>
  <c r="T50" i="344"/>
  <c r="S50" i="344"/>
  <c r="Q50" i="344"/>
  <c r="K50" i="344"/>
  <c r="Y49" i="344"/>
  <c r="Z49" i="344" s="1"/>
  <c r="U49" i="344"/>
  <c r="T49" i="344"/>
  <c r="S49" i="344"/>
  <c r="Q49" i="344"/>
  <c r="K49" i="344"/>
  <c r="Y48" i="344"/>
  <c r="Z48" i="344" s="1"/>
  <c r="U48" i="344"/>
  <c r="T48" i="344"/>
  <c r="S48" i="344"/>
  <c r="Q48" i="344"/>
  <c r="K48" i="344"/>
  <c r="U47" i="344"/>
  <c r="T47" i="344"/>
  <c r="S47" i="344"/>
  <c r="Q47" i="344"/>
  <c r="K47" i="344"/>
  <c r="U46" i="344"/>
  <c r="T46" i="344"/>
  <c r="Q46" i="344"/>
  <c r="S46" i="344" s="1"/>
  <c r="K46" i="344"/>
  <c r="AB45" i="344"/>
  <c r="AA45" i="344"/>
  <c r="U45" i="344"/>
  <c r="T45" i="344"/>
  <c r="S45" i="344"/>
  <c r="Q45" i="344"/>
  <c r="K45" i="344"/>
  <c r="AB44" i="344"/>
  <c r="AA44" i="344"/>
  <c r="U44" i="344"/>
  <c r="T44" i="344"/>
  <c r="S44" i="344"/>
  <c r="Q44" i="344"/>
  <c r="K44" i="344"/>
  <c r="AB43" i="344"/>
  <c r="AA43" i="344"/>
  <c r="U43" i="344"/>
  <c r="T43" i="344"/>
  <c r="S43" i="344"/>
  <c r="Q43" i="344"/>
  <c r="K43" i="344"/>
  <c r="U42" i="344"/>
  <c r="T42" i="344"/>
  <c r="S42" i="344"/>
  <c r="Q42" i="344"/>
  <c r="K42" i="344"/>
  <c r="U41" i="344"/>
  <c r="T41" i="344"/>
  <c r="S41" i="344"/>
  <c r="Q41" i="344"/>
  <c r="K41" i="344"/>
  <c r="U40" i="344"/>
  <c r="T40" i="344"/>
  <c r="S40" i="344"/>
  <c r="K40" i="344"/>
  <c r="U39" i="344"/>
  <c r="T39" i="344"/>
  <c r="S39" i="344"/>
  <c r="Q39" i="344"/>
  <c r="K39" i="344"/>
  <c r="U38" i="344"/>
  <c r="T38" i="344"/>
  <c r="Q38" i="344"/>
  <c r="S38" i="344" s="1"/>
  <c r="K38" i="344"/>
  <c r="U37" i="344"/>
  <c r="T37" i="344"/>
  <c r="S37" i="344"/>
  <c r="Q37" i="344"/>
  <c r="K37" i="344"/>
  <c r="Z36" i="344"/>
  <c r="AA36" i="344" s="1"/>
  <c r="U36" i="344"/>
  <c r="T36" i="344"/>
  <c r="S36" i="344"/>
  <c r="Q36" i="344"/>
  <c r="K36" i="344"/>
  <c r="Z35" i="344"/>
  <c r="U35" i="344"/>
  <c r="T35" i="344"/>
  <c r="S35" i="344"/>
  <c r="Q35" i="344"/>
  <c r="K35" i="344"/>
  <c r="AC34" i="344"/>
  <c r="AD34" i="344" s="1"/>
  <c r="U34" i="344"/>
  <c r="T34" i="344"/>
  <c r="S34" i="344"/>
  <c r="Q34" i="344"/>
  <c r="K34" i="344"/>
  <c r="U33" i="344"/>
  <c r="T33" i="344"/>
  <c r="S33" i="344"/>
  <c r="Q33" i="344"/>
  <c r="K33" i="344"/>
  <c r="U32" i="344"/>
  <c r="T32" i="344"/>
  <c r="S32" i="344"/>
  <c r="Q32" i="344"/>
  <c r="K32" i="344"/>
  <c r="U31" i="344"/>
  <c r="T31" i="344"/>
  <c r="S31" i="344"/>
  <c r="Q31" i="344"/>
  <c r="K31" i="344"/>
  <c r="Z30" i="344"/>
  <c r="Z10" i="344" s="1"/>
  <c r="AK79" i="344" s="1"/>
  <c r="U30" i="344"/>
  <c r="T30" i="344"/>
  <c r="S30" i="344"/>
  <c r="Q30" i="344"/>
  <c r="K30" i="344"/>
  <c r="U29" i="344"/>
  <c r="T29" i="344"/>
  <c r="S29" i="344"/>
  <c r="Q29" i="344"/>
  <c r="K29" i="344"/>
  <c r="U28" i="344"/>
  <c r="T28" i="344"/>
  <c r="S28" i="344"/>
  <c r="Q28" i="344"/>
  <c r="K28" i="344"/>
  <c r="U27" i="344"/>
  <c r="T27" i="344"/>
  <c r="S27" i="344"/>
  <c r="Q27" i="344"/>
  <c r="K27" i="344"/>
  <c r="T26" i="344"/>
  <c r="S26" i="344"/>
  <c r="Q26" i="344"/>
  <c r="U26" i="344" s="1"/>
  <c r="K26" i="344"/>
  <c r="U25" i="344"/>
  <c r="T25" i="344"/>
  <c r="Q25" i="344"/>
  <c r="S25" i="344" s="1"/>
  <c r="K25" i="344"/>
  <c r="U24" i="344"/>
  <c r="T24" i="344"/>
  <c r="S24" i="344"/>
  <c r="Q24" i="344"/>
  <c r="K24" i="344"/>
  <c r="U23" i="344"/>
  <c r="T23" i="344"/>
  <c r="S23" i="344"/>
  <c r="Q23" i="344"/>
  <c r="K23" i="344"/>
  <c r="U22" i="344"/>
  <c r="T22" i="344"/>
  <c r="Q22" i="344"/>
  <c r="S22" i="344" s="1"/>
  <c r="K22" i="344"/>
  <c r="U21" i="344"/>
  <c r="T21" i="344"/>
  <c r="S21" i="344"/>
  <c r="Q21" i="344"/>
  <c r="K21" i="344"/>
  <c r="U20" i="344"/>
  <c r="T20" i="344"/>
  <c r="Q20" i="344"/>
  <c r="S20" i="344" s="1"/>
  <c r="K20" i="344"/>
  <c r="U19" i="344"/>
  <c r="T19" i="344"/>
  <c r="Q19" i="344"/>
  <c r="S19" i="344" s="1"/>
  <c r="K19" i="344"/>
  <c r="U18" i="344"/>
  <c r="S18" i="344"/>
  <c r="AB99" i="344" s="1"/>
  <c r="Q18" i="344"/>
  <c r="T18" i="344" s="1"/>
  <c r="K18" i="344"/>
  <c r="U17" i="344"/>
  <c r="Q17" i="344"/>
  <c r="S17" i="344" s="1"/>
  <c r="K17" i="344"/>
  <c r="U16" i="344"/>
  <c r="T16" i="344"/>
  <c r="S16" i="344"/>
  <c r="K16" i="344"/>
  <c r="Z15" i="344"/>
  <c r="U15" i="344"/>
  <c r="T15" i="344"/>
  <c r="Q15" i="344"/>
  <c r="S15" i="344" s="1"/>
  <c r="K15" i="344"/>
  <c r="U14" i="344"/>
  <c r="T14" i="344"/>
  <c r="Q14" i="344"/>
  <c r="S14" i="344" s="1"/>
  <c r="K14" i="344"/>
  <c r="U13" i="344"/>
  <c r="T13" i="344"/>
  <c r="Q13" i="344"/>
  <c r="S13" i="344" s="1"/>
  <c r="K13" i="344"/>
  <c r="AC12" i="344"/>
  <c r="AB12" i="344"/>
  <c r="AA12" i="344"/>
  <c r="U12" i="344"/>
  <c r="T12" i="344"/>
  <c r="Q12" i="344"/>
  <c r="S12" i="344" s="1"/>
  <c r="K12" i="344"/>
  <c r="AA11" i="344"/>
  <c r="U11" i="344"/>
  <c r="T11" i="344"/>
  <c r="Q11" i="344"/>
  <c r="S11" i="344" s="1"/>
  <c r="K11" i="344"/>
  <c r="AB10" i="344"/>
  <c r="U10" i="344"/>
  <c r="Q10" i="344"/>
  <c r="S10" i="344" s="1"/>
  <c r="K10" i="344"/>
  <c r="AA9" i="344"/>
  <c r="U9" i="344"/>
  <c r="Q9" i="344"/>
  <c r="T9" i="344" s="1"/>
  <c r="K9" i="344"/>
  <c r="U8" i="344"/>
  <c r="T8" i="344"/>
  <c r="Q8" i="344"/>
  <c r="S8" i="344" s="1"/>
  <c r="K8" i="344"/>
  <c r="AD7" i="344"/>
  <c r="Z7" i="344"/>
  <c r="U7" i="344"/>
  <c r="Q7" i="344"/>
  <c r="Z6" i="344"/>
  <c r="U6" i="344"/>
  <c r="T6" i="344"/>
  <c r="Q6" i="344"/>
  <c r="S6" i="344" s="1"/>
  <c r="K6" i="344"/>
  <c r="U5" i="344"/>
  <c r="S5" i="344"/>
  <c r="Q5" i="344"/>
  <c r="T5" i="344" s="1"/>
  <c r="K5" i="344"/>
  <c r="U4" i="344"/>
  <c r="S4" i="344"/>
  <c r="Q4" i="344"/>
  <c r="T4" i="344" s="1"/>
  <c r="K4" i="344"/>
  <c r="AE3" i="344"/>
  <c r="U3" i="344"/>
  <c r="S3" i="344"/>
  <c r="Q3" i="344"/>
  <c r="T3" i="344" s="1"/>
  <c r="K3" i="344"/>
  <c r="U2" i="344"/>
  <c r="T2" i="344"/>
  <c r="Q2" i="344"/>
  <c r="S2" i="344" s="1"/>
  <c r="K2" i="344"/>
  <c r="X53" i="347" l="1"/>
  <c r="W54" i="347"/>
  <c r="O84" i="346"/>
  <c r="O87" i="346"/>
  <c r="O66" i="346"/>
  <c r="O101" i="346"/>
  <c r="O102" i="346"/>
  <c r="O98" i="346"/>
  <c r="O94" i="346"/>
  <c r="O103" i="346"/>
  <c r="O100" i="346"/>
  <c r="O92" i="346"/>
  <c r="O95" i="346"/>
  <c r="O97" i="346"/>
  <c r="O39" i="346"/>
  <c r="O44" i="346"/>
  <c r="AC42" i="346"/>
  <c r="AB100" i="346"/>
  <c r="AA68" i="346"/>
  <c r="O61" i="346"/>
  <c r="AD36" i="346"/>
  <c r="AD35" i="346"/>
  <c r="AE35" i="346" s="1"/>
  <c r="S105" i="346"/>
  <c r="AC4" i="346" s="1"/>
  <c r="O59" i="346"/>
  <c r="O79" i="346"/>
  <c r="O72" i="346"/>
  <c r="O67" i="346"/>
  <c r="O77" i="346"/>
  <c r="T105" i="346"/>
  <c r="AB4" i="346" s="1"/>
  <c r="V105" i="346"/>
  <c r="O53" i="346"/>
  <c r="O41" i="346"/>
  <c r="O38" i="346"/>
  <c r="O31" i="346"/>
  <c r="O56" i="346"/>
  <c r="O33" i="346"/>
  <c r="O46" i="346"/>
  <c r="O35" i="346"/>
  <c r="O55" i="346"/>
  <c r="O37" i="346"/>
  <c r="O43" i="346"/>
  <c r="O30" i="346"/>
  <c r="Z60" i="346"/>
  <c r="AA35" i="346"/>
  <c r="AE36" i="346"/>
  <c r="AE34" i="346"/>
  <c r="O88" i="346"/>
  <c r="O93" i="346"/>
  <c r="O90" i="346"/>
  <c r="O91" i="346"/>
  <c r="O85" i="346"/>
  <c r="O78" i="346"/>
  <c r="O49" i="346"/>
  <c r="O63" i="346"/>
  <c r="O45" i="346"/>
  <c r="N2" i="346"/>
  <c r="O50" i="346"/>
  <c r="AK79" i="346"/>
  <c r="Z14" i="346"/>
  <c r="AA10" i="346"/>
  <c r="O89" i="346"/>
  <c r="O36" i="346"/>
  <c r="AB95" i="346"/>
  <c r="AB97" i="346"/>
  <c r="O80" i="346"/>
  <c r="O76" i="346"/>
  <c r="O75" i="346"/>
  <c r="O74" i="346"/>
  <c r="O73" i="346"/>
  <c r="O62" i="346"/>
  <c r="O70" i="346"/>
  <c r="O68" i="346"/>
  <c r="O58" i="346"/>
  <c r="O60" i="346"/>
  <c r="O65" i="346"/>
  <c r="O64" i="346"/>
  <c r="O71" i="346"/>
  <c r="K105" i="346"/>
  <c r="K108" i="346" s="1"/>
  <c r="K110" i="346" s="1"/>
  <c r="O57" i="346"/>
  <c r="O83" i="346"/>
  <c r="O82" i="346"/>
  <c r="O54" i="346"/>
  <c r="O34" i="346"/>
  <c r="R105" i="346"/>
  <c r="AC80" i="346"/>
  <c r="AC81" i="346" s="1"/>
  <c r="AA62" i="346"/>
  <c r="AB47" i="346"/>
  <c r="O47" i="346"/>
  <c r="AC37" i="346"/>
  <c r="T105" i="345"/>
  <c r="AB4" i="345" s="1"/>
  <c r="AB95" i="345"/>
  <c r="AD5" i="345"/>
  <c r="AA34" i="345" s="1"/>
  <c r="AB34" i="345" s="1"/>
  <c r="AA35" i="345"/>
  <c r="AB35" i="345" s="1"/>
  <c r="N105" i="345"/>
  <c r="O29" i="345"/>
  <c r="O25" i="345"/>
  <c r="O27" i="345"/>
  <c r="O24" i="345"/>
  <c r="O16" i="345"/>
  <c r="O15" i="345"/>
  <c r="O6" i="345"/>
  <c r="O4" i="345"/>
  <c r="O2" i="345"/>
  <c r="O17" i="345"/>
  <c r="O26" i="345"/>
  <c r="O19" i="345"/>
  <c r="O11" i="345"/>
  <c r="O9" i="345"/>
  <c r="O8" i="345"/>
  <c r="S105" i="345"/>
  <c r="AC4" i="345" s="1"/>
  <c r="AB97" i="345"/>
  <c r="V2" i="345"/>
  <c r="V105" i="345" s="1"/>
  <c r="O89" i="345"/>
  <c r="O90" i="345"/>
  <c r="O86" i="345"/>
  <c r="AE35" i="345"/>
  <c r="AC37" i="345"/>
  <c r="O3" i="345"/>
  <c r="O79" i="345"/>
  <c r="O77" i="345"/>
  <c r="O67" i="345"/>
  <c r="O63" i="345"/>
  <c r="O61" i="345"/>
  <c r="O80" i="345"/>
  <c r="O76" i="345"/>
  <c r="O72" i="345"/>
  <c r="O74" i="345"/>
  <c r="O71" i="345"/>
  <c r="O69" i="345"/>
  <c r="O78" i="345"/>
  <c r="Z13" i="345"/>
  <c r="Z18" i="345"/>
  <c r="Z24" i="345" s="1"/>
  <c r="W2" i="345" s="1"/>
  <c r="AA3" i="345"/>
  <c r="AA4" i="345"/>
  <c r="O73" i="345"/>
  <c r="O57" i="345"/>
  <c r="O92" i="345"/>
  <c r="O10" i="345"/>
  <c r="O59" i="345"/>
  <c r="O88" i="345"/>
  <c r="AD36" i="345"/>
  <c r="AE36" i="345" s="1"/>
  <c r="AD35" i="345"/>
  <c r="O66" i="345"/>
  <c r="O22" i="345"/>
  <c r="O7" i="345"/>
  <c r="O70" i="345"/>
  <c r="O91" i="345"/>
  <c r="O68" i="345"/>
  <c r="O65" i="345"/>
  <c r="O102" i="345"/>
  <c r="O100" i="345"/>
  <c r="O94" i="345"/>
  <c r="O101" i="345"/>
  <c r="O103" i="345"/>
  <c r="O97" i="345"/>
  <c r="O96" i="345"/>
  <c r="O99" i="345"/>
  <c r="O98" i="345"/>
  <c r="O95" i="345"/>
  <c r="O14" i="345"/>
  <c r="O5" i="345"/>
  <c r="O20" i="345"/>
  <c r="O93" i="345"/>
  <c r="O75" i="345"/>
  <c r="O60" i="345"/>
  <c r="O64" i="345"/>
  <c r="AB100" i="345"/>
  <c r="O13" i="345"/>
  <c r="Z58" i="345"/>
  <c r="AB5" i="345"/>
  <c r="AE4" i="345"/>
  <c r="O43" i="345"/>
  <c r="O39" i="345"/>
  <c r="O56" i="345"/>
  <c r="O55" i="345"/>
  <c r="O41" i="345"/>
  <c r="O34" i="345"/>
  <c r="O53" i="345"/>
  <c r="O47" i="345"/>
  <c r="O54" i="345"/>
  <c r="AE34" i="345"/>
  <c r="O46" i="345"/>
  <c r="O12" i="345"/>
  <c r="AB80" i="345"/>
  <c r="AD80" i="345" s="1"/>
  <c r="AK77" i="345" s="1"/>
  <c r="AL77" i="345" s="1"/>
  <c r="AD60" i="345"/>
  <c r="Z53" i="345"/>
  <c r="AB102" i="344"/>
  <c r="AB61" i="344"/>
  <c r="AC44" i="344"/>
  <c r="V79" i="344"/>
  <c r="V96" i="344"/>
  <c r="V99" i="344"/>
  <c r="V73" i="344"/>
  <c r="V62" i="344"/>
  <c r="V65" i="344"/>
  <c r="V72" i="344"/>
  <c r="N27" i="344"/>
  <c r="O32" i="344" s="1"/>
  <c r="V16" i="344"/>
  <c r="AA61" i="344"/>
  <c r="V45" i="344"/>
  <c r="V40" i="344"/>
  <c r="AI58" i="344"/>
  <c r="AJ58" i="344" s="1"/>
  <c r="AK58" i="344" s="1"/>
  <c r="AM58" i="344" s="1"/>
  <c r="V85" i="344"/>
  <c r="V87" i="344"/>
  <c r="V92" i="344"/>
  <c r="N94" i="344"/>
  <c r="O97" i="344" s="1"/>
  <c r="V35" i="344"/>
  <c r="V37" i="344"/>
  <c r="V66" i="344"/>
  <c r="V76" i="344"/>
  <c r="V77" i="344"/>
  <c r="V83" i="344"/>
  <c r="V97" i="344"/>
  <c r="V98" i="344"/>
  <c r="V101" i="344"/>
  <c r="V102" i="344"/>
  <c r="V23" i="344"/>
  <c r="R52" i="344"/>
  <c r="V55" i="344"/>
  <c r="V63" i="344"/>
  <c r="V80" i="344"/>
  <c r="V103" i="344"/>
  <c r="V36" i="344"/>
  <c r="V39" i="344"/>
  <c r="V70" i="344"/>
  <c r="V84" i="344"/>
  <c r="X84" i="344" s="1"/>
  <c r="V91" i="344"/>
  <c r="V100" i="344"/>
  <c r="AC80" i="344"/>
  <c r="V43" i="344"/>
  <c r="AC43" i="344"/>
  <c r="V50" i="344"/>
  <c r="V58" i="344"/>
  <c r="V60" i="344"/>
  <c r="V69" i="344"/>
  <c r="V71" i="344"/>
  <c r="AC79" i="344"/>
  <c r="AC81" i="344" s="1"/>
  <c r="V81" i="344"/>
  <c r="V86" i="344"/>
  <c r="V88" i="344"/>
  <c r="V95" i="344"/>
  <c r="N50" i="344"/>
  <c r="V56" i="344"/>
  <c r="V61" i="344"/>
  <c r="AB62" i="344"/>
  <c r="V67" i="344"/>
  <c r="V68" i="344"/>
  <c r="V78" i="344"/>
  <c r="V94" i="344"/>
  <c r="V21" i="344"/>
  <c r="V30" i="344"/>
  <c r="AB36" i="344"/>
  <c r="AC45" i="344"/>
  <c r="AA62" i="344"/>
  <c r="V75" i="344"/>
  <c r="V89" i="344"/>
  <c r="V90" i="344"/>
  <c r="V93" i="344"/>
  <c r="R50" i="344"/>
  <c r="V51" i="344"/>
  <c r="V52" i="344"/>
  <c r="V41" i="344"/>
  <c r="V54" i="344"/>
  <c r="V32" i="344"/>
  <c r="V42" i="344"/>
  <c r="V49" i="344"/>
  <c r="V53" i="344"/>
  <c r="V38" i="344"/>
  <c r="T17" i="344"/>
  <c r="V17" i="344" s="1"/>
  <c r="V4" i="344"/>
  <c r="V19" i="344"/>
  <c r="V11" i="344"/>
  <c r="V22" i="344"/>
  <c r="T7" i="344"/>
  <c r="AB92" i="344" s="1"/>
  <c r="V8" i="344"/>
  <c r="V3" i="344"/>
  <c r="V5" i="344"/>
  <c r="V6" i="344"/>
  <c r="S9" i="344"/>
  <c r="V9" i="344" s="1"/>
  <c r="V13" i="344"/>
  <c r="T10" i="344"/>
  <c r="V12" i="344"/>
  <c r="V27" i="344"/>
  <c r="V25" i="344"/>
  <c r="V28" i="344"/>
  <c r="V29" i="344"/>
  <c r="AA10" i="344"/>
  <c r="V26" i="344"/>
  <c r="H105" i="344"/>
  <c r="AA97" i="344"/>
  <c r="AA42" i="344"/>
  <c r="S7" i="344"/>
  <c r="K7" i="344"/>
  <c r="N2" i="344" s="1"/>
  <c r="V15" i="344"/>
  <c r="V24" i="344"/>
  <c r="O53" i="344"/>
  <c r="O54" i="344"/>
  <c r="O37" i="344"/>
  <c r="O35" i="344"/>
  <c r="O33" i="344"/>
  <c r="O34" i="344"/>
  <c r="V2" i="344"/>
  <c r="V14" i="344"/>
  <c r="V20" i="344"/>
  <c r="O31" i="344"/>
  <c r="U105" i="344"/>
  <c r="AD4" i="344" s="1"/>
  <c r="AA15" i="344"/>
  <c r="Z16" i="344"/>
  <c r="AA16" i="344" s="1"/>
  <c r="AB94" i="344"/>
  <c r="V18" i="344"/>
  <c r="O44" i="344"/>
  <c r="O46" i="344"/>
  <c r="AB93" i="344"/>
  <c r="V31" i="344"/>
  <c r="O43" i="344"/>
  <c r="V47" i="344"/>
  <c r="V48" i="344"/>
  <c r="Q105" i="344"/>
  <c r="AC61" i="344"/>
  <c r="AA69" i="344" s="1"/>
  <c r="AC58" i="344"/>
  <c r="V34" i="344"/>
  <c r="V44" i="344"/>
  <c r="V46" i="344"/>
  <c r="O102" i="344"/>
  <c r="AB100" i="344"/>
  <c r="V33" i="344"/>
  <c r="AD36" i="344"/>
  <c r="AD35" i="344"/>
  <c r="AC35" i="344"/>
  <c r="AC36" i="344"/>
  <c r="O39" i="344"/>
  <c r="AA92" i="344"/>
  <c r="AB42" i="344"/>
  <c r="I105" i="344"/>
  <c r="Z14" i="344"/>
  <c r="AB98" i="344"/>
  <c r="AE34" i="344"/>
  <c r="N81" i="344"/>
  <c r="O83" i="344" s="1"/>
  <c r="N85" i="344"/>
  <c r="O91" i="344" s="1"/>
  <c r="Z37" i="344"/>
  <c r="N56" i="344"/>
  <c r="O66" i="344" s="1"/>
  <c r="V74" i="344"/>
  <c r="V82" i="344"/>
  <c r="R54" i="344"/>
  <c r="V57" i="344"/>
  <c r="V59" i="344"/>
  <c r="V64" i="344"/>
  <c r="AH60" i="341"/>
  <c r="AI58" i="341" s="1"/>
  <c r="R26" i="343"/>
  <c r="U123" i="343"/>
  <c r="I113" i="343"/>
  <c r="P105" i="343"/>
  <c r="M105" i="343"/>
  <c r="J105" i="343"/>
  <c r="U103" i="343"/>
  <c r="T103" i="343"/>
  <c r="S103" i="343"/>
  <c r="Q103" i="343"/>
  <c r="K103" i="343"/>
  <c r="AA102" i="343"/>
  <c r="U102" i="343"/>
  <c r="T102" i="343"/>
  <c r="S102" i="343"/>
  <c r="Q102" i="343"/>
  <c r="K102" i="343"/>
  <c r="U101" i="343"/>
  <c r="T101" i="343"/>
  <c r="S101" i="343"/>
  <c r="Q101" i="343"/>
  <c r="K101" i="343"/>
  <c r="AA100" i="343"/>
  <c r="U100" i="343"/>
  <c r="T100" i="343"/>
  <c r="S100" i="343"/>
  <c r="Q100" i="343"/>
  <c r="K100" i="343"/>
  <c r="AA99" i="343"/>
  <c r="U99" i="343"/>
  <c r="T99" i="343"/>
  <c r="S99" i="343"/>
  <c r="Q99" i="343"/>
  <c r="K99" i="343"/>
  <c r="AA98" i="343"/>
  <c r="U98" i="343"/>
  <c r="T98" i="343"/>
  <c r="S98" i="343"/>
  <c r="Q98" i="343"/>
  <c r="K98" i="343"/>
  <c r="AA97" i="343"/>
  <c r="U97" i="343"/>
  <c r="T97" i="343"/>
  <c r="S97" i="343"/>
  <c r="Q97" i="343"/>
  <c r="K97" i="343"/>
  <c r="U96" i="343"/>
  <c r="T96" i="343"/>
  <c r="S96" i="343"/>
  <c r="Q96" i="343"/>
  <c r="K96" i="343"/>
  <c r="AA95" i="343"/>
  <c r="U95" i="343"/>
  <c r="T95" i="343"/>
  <c r="S95" i="343"/>
  <c r="Q95" i="343"/>
  <c r="K95" i="343"/>
  <c r="AA94" i="343"/>
  <c r="U94" i="343"/>
  <c r="T94" i="343"/>
  <c r="S94" i="343"/>
  <c r="Q94" i="343"/>
  <c r="K94" i="343"/>
  <c r="AA93" i="343"/>
  <c r="U93" i="343"/>
  <c r="T93" i="343"/>
  <c r="S93" i="343"/>
  <c r="Q93" i="343"/>
  <c r="K93" i="343"/>
  <c r="U92" i="343"/>
  <c r="T92" i="343"/>
  <c r="S92" i="343"/>
  <c r="Q92" i="343"/>
  <c r="K92" i="343"/>
  <c r="U91" i="343"/>
  <c r="T91" i="343"/>
  <c r="S91" i="343"/>
  <c r="Q91" i="343"/>
  <c r="K91" i="343"/>
  <c r="U90" i="343"/>
  <c r="T90" i="343"/>
  <c r="S90" i="343"/>
  <c r="Q90" i="343"/>
  <c r="K90" i="343"/>
  <c r="U89" i="343"/>
  <c r="T89" i="343"/>
  <c r="S89" i="343"/>
  <c r="Q89" i="343"/>
  <c r="K89" i="343"/>
  <c r="U88" i="343"/>
  <c r="T88" i="343"/>
  <c r="S88" i="343"/>
  <c r="Q88" i="343"/>
  <c r="K88" i="343"/>
  <c r="AE87" i="343"/>
  <c r="AF86" i="343" s="1"/>
  <c r="AG86" i="343" s="1"/>
  <c r="AH86" i="343" s="1"/>
  <c r="AH87" i="343" s="1"/>
  <c r="AH88" i="343" s="1"/>
  <c r="AA87" i="343"/>
  <c r="Y87" i="343"/>
  <c r="U87" i="343"/>
  <c r="T87" i="343"/>
  <c r="S87" i="343"/>
  <c r="Q87" i="343"/>
  <c r="K87" i="343"/>
  <c r="U86" i="343"/>
  <c r="T86" i="343"/>
  <c r="S86" i="343"/>
  <c r="Q86" i="343"/>
  <c r="K86" i="343"/>
  <c r="U85" i="343"/>
  <c r="T85" i="343"/>
  <c r="S85" i="343"/>
  <c r="Q85" i="343"/>
  <c r="K85" i="343"/>
  <c r="U84" i="343"/>
  <c r="T84" i="343"/>
  <c r="S84" i="343"/>
  <c r="Q84" i="343"/>
  <c r="K84" i="343"/>
  <c r="U83" i="343"/>
  <c r="T83" i="343"/>
  <c r="S83" i="343"/>
  <c r="Q83" i="343"/>
  <c r="K83" i="343"/>
  <c r="U82" i="343"/>
  <c r="T82" i="343"/>
  <c r="S82" i="343"/>
  <c r="Q82" i="343"/>
  <c r="K82" i="343"/>
  <c r="AA81" i="343"/>
  <c r="AA86" i="343" s="1"/>
  <c r="AB86" i="343" s="1"/>
  <c r="AC86" i="343" s="1"/>
  <c r="AD86" i="343" s="1"/>
  <c r="AD87" i="343" s="1"/>
  <c r="AD88" i="343" s="1"/>
  <c r="Z81" i="343"/>
  <c r="U81" i="343"/>
  <c r="T81" i="343"/>
  <c r="S81" i="343"/>
  <c r="Q81" i="343"/>
  <c r="K81" i="343"/>
  <c r="AI80" i="343"/>
  <c r="U80" i="343"/>
  <c r="T80" i="343"/>
  <c r="S80" i="343"/>
  <c r="Q80" i="343"/>
  <c r="K80" i="343"/>
  <c r="AI79" i="343"/>
  <c r="U79" i="343"/>
  <c r="T79" i="343"/>
  <c r="S79" i="343"/>
  <c r="Q79" i="343"/>
  <c r="K79" i="343"/>
  <c r="AI78" i="343"/>
  <c r="U78" i="343"/>
  <c r="T78" i="343"/>
  <c r="S78" i="343"/>
  <c r="Q78" i="343"/>
  <c r="K78" i="343"/>
  <c r="U77" i="343"/>
  <c r="T77" i="343"/>
  <c r="S77" i="343"/>
  <c r="Q77" i="343"/>
  <c r="K77" i="343"/>
  <c r="U76" i="343"/>
  <c r="T76" i="343"/>
  <c r="S76" i="343"/>
  <c r="Q76" i="343"/>
  <c r="K76" i="343"/>
  <c r="U75" i="343"/>
  <c r="T75" i="343"/>
  <c r="S75" i="343"/>
  <c r="Q75" i="343"/>
  <c r="K75" i="343"/>
  <c r="U74" i="343"/>
  <c r="T74" i="343"/>
  <c r="S74" i="343"/>
  <c r="Q74" i="343"/>
  <c r="K74" i="343"/>
  <c r="AD73" i="343"/>
  <c r="Z73" i="343"/>
  <c r="U73" i="343"/>
  <c r="T73" i="343"/>
  <c r="S73" i="343"/>
  <c r="Q73" i="343"/>
  <c r="K73" i="343"/>
  <c r="Z72" i="343"/>
  <c r="U72" i="343"/>
  <c r="T72" i="343"/>
  <c r="S72" i="343"/>
  <c r="Q72" i="343"/>
  <c r="K72" i="343"/>
  <c r="U71" i="343"/>
  <c r="T71" i="343"/>
  <c r="S71" i="343"/>
  <c r="Q71" i="343"/>
  <c r="K71" i="343"/>
  <c r="U70" i="343"/>
  <c r="T70" i="343"/>
  <c r="S70" i="343"/>
  <c r="Q70" i="343"/>
  <c r="K70" i="343"/>
  <c r="U69" i="343"/>
  <c r="T69" i="343"/>
  <c r="S69" i="343"/>
  <c r="Q69" i="343"/>
  <c r="K69" i="343"/>
  <c r="U68" i="343"/>
  <c r="T68" i="343"/>
  <c r="S68" i="343"/>
  <c r="Q68" i="343"/>
  <c r="K68" i="343"/>
  <c r="AA67" i="343"/>
  <c r="U67" i="343"/>
  <c r="T67" i="343"/>
  <c r="S67" i="343"/>
  <c r="Q67" i="343"/>
  <c r="K67" i="343"/>
  <c r="U66" i="343"/>
  <c r="T66" i="343"/>
  <c r="S66" i="343"/>
  <c r="Q66" i="343"/>
  <c r="K66" i="343"/>
  <c r="U65" i="343"/>
  <c r="T65" i="343"/>
  <c r="S65" i="343"/>
  <c r="Q65" i="343"/>
  <c r="K65" i="343"/>
  <c r="U64" i="343"/>
  <c r="T64" i="343"/>
  <c r="S64" i="343"/>
  <c r="Q64" i="343"/>
  <c r="K64" i="343"/>
  <c r="U63" i="343"/>
  <c r="T63" i="343"/>
  <c r="S63" i="343"/>
  <c r="Q63" i="343"/>
  <c r="K63" i="343"/>
  <c r="AC62" i="343"/>
  <c r="U62" i="343"/>
  <c r="T62" i="343"/>
  <c r="S62" i="343"/>
  <c r="Q62" i="343"/>
  <c r="K62" i="343"/>
  <c r="U61" i="343"/>
  <c r="T61" i="343"/>
  <c r="S61" i="343"/>
  <c r="Q61" i="343"/>
  <c r="K61" i="343"/>
  <c r="AH60" i="343"/>
  <c r="AA60" i="343"/>
  <c r="AC80" i="343" s="1"/>
  <c r="U60" i="343"/>
  <c r="T60" i="343"/>
  <c r="S60" i="343"/>
  <c r="Q60" i="343"/>
  <c r="K60" i="343"/>
  <c r="AB59" i="343"/>
  <c r="AA59" i="343"/>
  <c r="AC79" i="343" s="1"/>
  <c r="U59" i="343"/>
  <c r="T59" i="343"/>
  <c r="S59" i="343"/>
  <c r="Q59" i="343"/>
  <c r="K59" i="343"/>
  <c r="AB58" i="343"/>
  <c r="AA58" i="343"/>
  <c r="AC78" i="343" s="1"/>
  <c r="U58" i="343"/>
  <c r="T58" i="343"/>
  <c r="S58" i="343"/>
  <c r="Q58" i="343"/>
  <c r="K58" i="343"/>
  <c r="U57" i="343"/>
  <c r="T57" i="343"/>
  <c r="S57" i="343"/>
  <c r="Q57" i="343"/>
  <c r="K57" i="343"/>
  <c r="U56" i="343"/>
  <c r="T56" i="343"/>
  <c r="S56" i="343"/>
  <c r="Q56" i="343"/>
  <c r="K56" i="343"/>
  <c r="Y55" i="343"/>
  <c r="U55" i="343"/>
  <c r="T55" i="343"/>
  <c r="S55" i="343"/>
  <c r="Q55" i="343"/>
  <c r="K55" i="343"/>
  <c r="U54" i="343"/>
  <c r="T54" i="343"/>
  <c r="S54" i="343"/>
  <c r="Q54" i="343"/>
  <c r="K54" i="343"/>
  <c r="Y53" i="343"/>
  <c r="U53" i="343"/>
  <c r="T53" i="343"/>
  <c r="Q53" i="343"/>
  <c r="S53" i="343" s="1"/>
  <c r="K53" i="343"/>
  <c r="U52" i="343"/>
  <c r="T52" i="343"/>
  <c r="S52" i="343"/>
  <c r="Q52" i="343"/>
  <c r="K52" i="343"/>
  <c r="Y51" i="343"/>
  <c r="U51" i="343"/>
  <c r="Q51" i="343"/>
  <c r="S51" i="343" s="1"/>
  <c r="K51" i="343"/>
  <c r="AB50" i="343"/>
  <c r="U50" i="343"/>
  <c r="T50" i="343"/>
  <c r="S50" i="343"/>
  <c r="Q50" i="343"/>
  <c r="K50" i="343"/>
  <c r="Y49" i="343"/>
  <c r="Z49" i="343" s="1"/>
  <c r="U49" i="343"/>
  <c r="T49" i="343"/>
  <c r="S49" i="343"/>
  <c r="Q49" i="343"/>
  <c r="K49" i="343"/>
  <c r="Y48" i="343"/>
  <c r="Z48" i="343" s="1"/>
  <c r="U48" i="343"/>
  <c r="T48" i="343"/>
  <c r="S48" i="343"/>
  <c r="Q48" i="343"/>
  <c r="K48" i="343"/>
  <c r="U47" i="343"/>
  <c r="T47" i="343"/>
  <c r="S47" i="343"/>
  <c r="Q47" i="343"/>
  <c r="K47" i="343"/>
  <c r="U46" i="343"/>
  <c r="T46" i="343"/>
  <c r="Q46" i="343"/>
  <c r="S46" i="343" s="1"/>
  <c r="K46" i="343"/>
  <c r="AB45" i="343"/>
  <c r="AA45" i="343"/>
  <c r="U45" i="343"/>
  <c r="T45" i="343"/>
  <c r="S45" i="343"/>
  <c r="Q45" i="343"/>
  <c r="K45" i="343"/>
  <c r="AB44" i="343"/>
  <c r="AA44" i="343"/>
  <c r="U44" i="343"/>
  <c r="T44" i="343"/>
  <c r="S44" i="343"/>
  <c r="Q44" i="343"/>
  <c r="K44" i="343"/>
  <c r="AB43" i="343"/>
  <c r="AA43" i="343"/>
  <c r="AC43" i="343" s="1"/>
  <c r="U43" i="343"/>
  <c r="T43" i="343"/>
  <c r="S43" i="343"/>
  <c r="Q43" i="343"/>
  <c r="K43" i="343"/>
  <c r="AB42" i="343"/>
  <c r="U42" i="343"/>
  <c r="T42" i="343"/>
  <c r="S42" i="343"/>
  <c r="Q42" i="343"/>
  <c r="K42" i="343"/>
  <c r="U41" i="343"/>
  <c r="T41" i="343"/>
  <c r="S41" i="343"/>
  <c r="Q41" i="343"/>
  <c r="K41" i="343"/>
  <c r="U40" i="343"/>
  <c r="T40" i="343"/>
  <c r="S40" i="343"/>
  <c r="K40" i="343"/>
  <c r="U39" i="343"/>
  <c r="T39" i="343"/>
  <c r="S39" i="343"/>
  <c r="Q39" i="343"/>
  <c r="K39" i="343"/>
  <c r="U38" i="343"/>
  <c r="T38" i="343"/>
  <c r="Q38" i="343"/>
  <c r="S38" i="343" s="1"/>
  <c r="K38" i="343"/>
  <c r="U37" i="343"/>
  <c r="T37" i="343"/>
  <c r="S37" i="343"/>
  <c r="Q37" i="343"/>
  <c r="K37" i="343"/>
  <c r="Z36" i="343"/>
  <c r="AA36" i="343" s="1"/>
  <c r="U36" i="343"/>
  <c r="T36" i="343"/>
  <c r="S36" i="343"/>
  <c r="Q36" i="343"/>
  <c r="K36" i="343"/>
  <c r="Z35" i="343"/>
  <c r="U35" i="343"/>
  <c r="T35" i="343"/>
  <c r="S35" i="343"/>
  <c r="Q35" i="343"/>
  <c r="K35" i="343"/>
  <c r="AC34" i="343"/>
  <c r="AC35" i="343" s="1"/>
  <c r="U34" i="343"/>
  <c r="T34" i="343"/>
  <c r="S34" i="343"/>
  <c r="Q34" i="343"/>
  <c r="K34" i="343"/>
  <c r="U33" i="343"/>
  <c r="T33" i="343"/>
  <c r="S33" i="343"/>
  <c r="Q33" i="343"/>
  <c r="K33" i="343"/>
  <c r="U32" i="343"/>
  <c r="T32" i="343"/>
  <c r="S32" i="343"/>
  <c r="Q32" i="343"/>
  <c r="K32" i="343"/>
  <c r="U31" i="343"/>
  <c r="T31" i="343"/>
  <c r="S31" i="343"/>
  <c r="Q31" i="343"/>
  <c r="K31" i="343"/>
  <c r="Z30" i="343"/>
  <c r="Z10" i="343" s="1"/>
  <c r="AK79" i="343" s="1"/>
  <c r="U30" i="343"/>
  <c r="T30" i="343"/>
  <c r="S30" i="343"/>
  <c r="Q30" i="343"/>
  <c r="K30" i="343"/>
  <c r="U29" i="343"/>
  <c r="T29" i="343"/>
  <c r="S29" i="343"/>
  <c r="Q29" i="343"/>
  <c r="K29" i="343"/>
  <c r="U28" i="343"/>
  <c r="T28" i="343"/>
  <c r="S28" i="343"/>
  <c r="Q28" i="343"/>
  <c r="K28" i="343"/>
  <c r="U27" i="343"/>
  <c r="T27" i="343"/>
  <c r="S27" i="343"/>
  <c r="Q27" i="343"/>
  <c r="K27" i="343"/>
  <c r="T26" i="343"/>
  <c r="S26" i="343"/>
  <c r="Q26" i="343"/>
  <c r="U26" i="343" s="1"/>
  <c r="K26" i="343"/>
  <c r="U25" i="343"/>
  <c r="T25" i="343"/>
  <c r="Q25" i="343"/>
  <c r="S25" i="343" s="1"/>
  <c r="K25" i="343"/>
  <c r="U24" i="343"/>
  <c r="T24" i="343"/>
  <c r="S24" i="343"/>
  <c r="Q24" i="343"/>
  <c r="K24" i="343"/>
  <c r="U23" i="343"/>
  <c r="T23" i="343"/>
  <c r="S23" i="343"/>
  <c r="Q23" i="343"/>
  <c r="K23" i="343"/>
  <c r="U22" i="343"/>
  <c r="T22" i="343"/>
  <c r="Q22" i="343"/>
  <c r="S22" i="343" s="1"/>
  <c r="K22" i="343"/>
  <c r="U21" i="343"/>
  <c r="T21" i="343"/>
  <c r="S21" i="343"/>
  <c r="Q21" i="343"/>
  <c r="K21" i="343"/>
  <c r="U20" i="343"/>
  <c r="T20" i="343"/>
  <c r="Q20" i="343"/>
  <c r="S20" i="343" s="1"/>
  <c r="K20" i="343"/>
  <c r="U19" i="343"/>
  <c r="T19" i="343"/>
  <c r="Q19" i="343"/>
  <c r="S19" i="343" s="1"/>
  <c r="K19" i="343"/>
  <c r="U18" i="343"/>
  <c r="S18" i="343"/>
  <c r="AB99" i="343" s="1"/>
  <c r="Q18" i="343"/>
  <c r="T18" i="343" s="1"/>
  <c r="AB94" i="343" s="1"/>
  <c r="K18" i="343"/>
  <c r="U17" i="343"/>
  <c r="T17" i="343"/>
  <c r="Q17" i="343"/>
  <c r="S17" i="343" s="1"/>
  <c r="K17" i="343"/>
  <c r="U16" i="343"/>
  <c r="T16" i="343"/>
  <c r="S16" i="343"/>
  <c r="K16" i="343"/>
  <c r="Z15" i="343"/>
  <c r="Z16" i="343" s="1"/>
  <c r="AA16" i="343" s="1"/>
  <c r="U15" i="343"/>
  <c r="T15" i="343"/>
  <c r="Q15" i="343"/>
  <c r="S15" i="343" s="1"/>
  <c r="K15" i="343"/>
  <c r="U14" i="343"/>
  <c r="T14" i="343"/>
  <c r="Q14" i="343"/>
  <c r="S14" i="343" s="1"/>
  <c r="K14" i="343"/>
  <c r="U13" i="343"/>
  <c r="T13" i="343"/>
  <c r="Q13" i="343"/>
  <c r="S13" i="343" s="1"/>
  <c r="K13" i="343"/>
  <c r="AC12" i="343"/>
  <c r="AB12" i="343"/>
  <c r="AA12" i="343"/>
  <c r="U12" i="343"/>
  <c r="T12" i="343"/>
  <c r="Q12" i="343"/>
  <c r="S12" i="343" s="1"/>
  <c r="K12" i="343"/>
  <c r="AA11" i="343"/>
  <c r="U11" i="343"/>
  <c r="T11" i="343"/>
  <c r="Q11" i="343"/>
  <c r="S11" i="343" s="1"/>
  <c r="K11" i="343"/>
  <c r="AB10" i="343"/>
  <c r="AC61" i="343" s="1"/>
  <c r="U10" i="343"/>
  <c r="T10" i="343"/>
  <c r="Q10" i="343"/>
  <c r="S10" i="343" s="1"/>
  <c r="K10" i="343"/>
  <c r="AA9" i="343"/>
  <c r="U9" i="343"/>
  <c r="Q9" i="343"/>
  <c r="S9" i="343" s="1"/>
  <c r="K9" i="343"/>
  <c r="U8" i="343"/>
  <c r="T8" i="343"/>
  <c r="Q8" i="343"/>
  <c r="S8" i="343" s="1"/>
  <c r="K8" i="343"/>
  <c r="AD7" i="343"/>
  <c r="Z7" i="343"/>
  <c r="U7" i="343"/>
  <c r="Q7" i="343"/>
  <c r="S7" i="343" s="1"/>
  <c r="K7" i="343"/>
  <c r="I7" i="343"/>
  <c r="AA92" i="343" s="1"/>
  <c r="H7" i="343"/>
  <c r="H105" i="343" s="1"/>
  <c r="Z6" i="343"/>
  <c r="U6" i="343"/>
  <c r="T6" i="343"/>
  <c r="Q6" i="343"/>
  <c r="S6" i="343" s="1"/>
  <c r="K6" i="343"/>
  <c r="U5" i="343"/>
  <c r="S5" i="343"/>
  <c r="Q5" i="343"/>
  <c r="T5" i="343" s="1"/>
  <c r="K5" i="343"/>
  <c r="U4" i="343"/>
  <c r="S4" i="343"/>
  <c r="Q4" i="343"/>
  <c r="T4" i="343" s="1"/>
  <c r="K4" i="343"/>
  <c r="AE3" i="343"/>
  <c r="U3" i="343"/>
  <c r="S3" i="343"/>
  <c r="Q3" i="343"/>
  <c r="T3" i="343" s="1"/>
  <c r="K3" i="343"/>
  <c r="U2" i="343"/>
  <c r="T2" i="343"/>
  <c r="Q2" i="343"/>
  <c r="K2" i="343"/>
  <c r="X54" i="347" l="1"/>
  <c r="W55" i="347"/>
  <c r="N105" i="346"/>
  <c r="O29" i="346"/>
  <c r="O17" i="346"/>
  <c r="O15" i="346"/>
  <c r="O22" i="346"/>
  <c r="O2" i="346"/>
  <c r="O26" i="346"/>
  <c r="O19" i="346"/>
  <c r="O11" i="346"/>
  <c r="O6" i="346"/>
  <c r="O4" i="346"/>
  <c r="O3" i="346"/>
  <c r="O5" i="346"/>
  <c r="O28" i="346"/>
  <c r="O12" i="346"/>
  <c r="O27" i="346"/>
  <c r="O16" i="346"/>
  <c r="O13" i="346"/>
  <c r="O20" i="346"/>
  <c r="O9" i="346"/>
  <c r="O24" i="346"/>
  <c r="O10" i="346"/>
  <c r="O25" i="346"/>
  <c r="O8" i="346"/>
  <c r="O14" i="346"/>
  <c r="Z58" i="346"/>
  <c r="AE4" i="346"/>
  <c r="AB5" i="346"/>
  <c r="Z18" i="346"/>
  <c r="Z24" i="346" s="1"/>
  <c r="W2" i="346" s="1"/>
  <c r="AA4" i="346"/>
  <c r="AA3" i="346"/>
  <c r="Z13" i="346"/>
  <c r="AA37" i="346"/>
  <c r="AB37" i="346" s="1"/>
  <c r="AB35" i="346"/>
  <c r="AE37" i="346"/>
  <c r="AB80" i="346"/>
  <c r="AD80" i="346" s="1"/>
  <c r="AK77" i="346" s="1"/>
  <c r="AL77" i="346" s="1"/>
  <c r="Z53" i="346"/>
  <c r="AD60" i="346"/>
  <c r="AE80" i="346" s="1"/>
  <c r="Z59" i="346"/>
  <c r="AC5" i="346"/>
  <c r="AD37" i="346"/>
  <c r="O7" i="346"/>
  <c r="AA37" i="345"/>
  <c r="AB37" i="345" s="1"/>
  <c r="AA5" i="345"/>
  <c r="AF3" i="345"/>
  <c r="AG3" i="345"/>
  <c r="AB78" i="345"/>
  <c r="AD58" i="345"/>
  <c r="W3" i="345"/>
  <c r="AE37" i="345"/>
  <c r="Z3" i="345"/>
  <c r="Z5" i="345" s="1"/>
  <c r="Z4" i="345"/>
  <c r="AE80" i="345"/>
  <c r="AF80" i="345" s="1"/>
  <c r="AD37" i="345"/>
  <c r="AF4" i="345"/>
  <c r="L2" i="345"/>
  <c r="L3" i="345" s="1"/>
  <c r="L4" i="345" s="1"/>
  <c r="L5" i="345" s="1"/>
  <c r="L6" i="345" s="1"/>
  <c r="L7" i="345" s="1"/>
  <c r="L8" i="345" s="1"/>
  <c r="L9" i="345" s="1"/>
  <c r="L10" i="345" s="1"/>
  <c r="L11" i="345" s="1"/>
  <c r="L12" i="345" s="1"/>
  <c r="L13" i="345" s="1"/>
  <c r="L14" i="345" s="1"/>
  <c r="L15" i="345" s="1"/>
  <c r="L16" i="345" s="1"/>
  <c r="L17" i="345" s="1"/>
  <c r="L18" i="345" s="1"/>
  <c r="L19" i="345" s="1"/>
  <c r="L20" i="345" s="1"/>
  <c r="L21" i="345" s="1"/>
  <c r="L22" i="345" s="1"/>
  <c r="L23" i="345" s="1"/>
  <c r="L24" i="345" s="1"/>
  <c r="L25" i="345" s="1"/>
  <c r="L26" i="345" s="1"/>
  <c r="L27" i="345" s="1"/>
  <c r="L28" i="345" s="1"/>
  <c r="L29" i="345" s="1"/>
  <c r="L30" i="345" s="1"/>
  <c r="L31" i="345" s="1"/>
  <c r="L32" i="345" s="1"/>
  <c r="L33" i="345" s="1"/>
  <c r="L34" i="345" s="1"/>
  <c r="L35" i="345" s="1"/>
  <c r="L36" i="345" s="1"/>
  <c r="L37" i="345" s="1"/>
  <c r="L38" i="345" s="1"/>
  <c r="L39" i="345" s="1"/>
  <c r="L40" i="345" s="1"/>
  <c r="L41" i="345" s="1"/>
  <c r="L42" i="345" s="1"/>
  <c r="L43" i="345" s="1"/>
  <c r="L44" i="345" s="1"/>
  <c r="L45" i="345" s="1"/>
  <c r="L46" i="345" s="1"/>
  <c r="L47" i="345" s="1"/>
  <c r="L48" i="345" s="1"/>
  <c r="L49" i="345" s="1"/>
  <c r="L50" i="345" s="1"/>
  <c r="L51" i="345" s="1"/>
  <c r="L52" i="345" s="1"/>
  <c r="L53" i="345" s="1"/>
  <c r="L54" i="345" s="1"/>
  <c r="L55" i="345" s="1"/>
  <c r="L56" i="345" s="1"/>
  <c r="L57" i="345" s="1"/>
  <c r="L58" i="345" s="1"/>
  <c r="L59" i="345" s="1"/>
  <c r="L60" i="345" s="1"/>
  <c r="L61" i="345" s="1"/>
  <c r="L62" i="345" s="1"/>
  <c r="L63" i="345" s="1"/>
  <c r="L64" i="345" s="1"/>
  <c r="L65" i="345" s="1"/>
  <c r="L66" i="345" s="1"/>
  <c r="L67" i="345" s="1"/>
  <c r="L68" i="345" s="1"/>
  <c r="L69" i="345" s="1"/>
  <c r="L70" i="345" s="1"/>
  <c r="L71" i="345" s="1"/>
  <c r="L72" i="345" s="1"/>
  <c r="L73" i="345" s="1"/>
  <c r="L74" i="345" s="1"/>
  <c r="L75" i="345" s="1"/>
  <c r="L76" i="345" s="1"/>
  <c r="L77" i="345" s="1"/>
  <c r="L78" i="345" s="1"/>
  <c r="L79" i="345" s="1"/>
  <c r="L80" i="345" s="1"/>
  <c r="L81" i="345" s="1"/>
  <c r="L82" i="345" s="1"/>
  <c r="L83" i="345" s="1"/>
  <c r="L84" i="345" s="1"/>
  <c r="L85" i="345" s="1"/>
  <c r="L86" i="345" s="1"/>
  <c r="L87" i="345" s="1"/>
  <c r="L88" i="345" s="1"/>
  <c r="L89" i="345" s="1"/>
  <c r="L90" i="345" s="1"/>
  <c r="L91" i="345" s="1"/>
  <c r="L92" i="345" s="1"/>
  <c r="L93" i="345" s="1"/>
  <c r="L94" i="345" s="1"/>
  <c r="L95" i="345" s="1"/>
  <c r="L96" i="345" s="1"/>
  <c r="L97" i="345" s="1"/>
  <c r="L98" i="345" s="1"/>
  <c r="L99" i="345" s="1"/>
  <c r="L100" i="345" s="1"/>
  <c r="L101" i="345" s="1"/>
  <c r="L102" i="345" s="1"/>
  <c r="L103" i="345" s="1"/>
  <c r="L105" i="345" s="1"/>
  <c r="AG4" i="345"/>
  <c r="Z59" i="345"/>
  <c r="AC5" i="345"/>
  <c r="AE5" i="345" s="1"/>
  <c r="O47" i="344"/>
  <c r="O38" i="344"/>
  <c r="O50" i="344"/>
  <c r="O96" i="344"/>
  <c r="O41" i="344"/>
  <c r="O30" i="344"/>
  <c r="O45" i="344"/>
  <c r="O101" i="344"/>
  <c r="O99" i="344"/>
  <c r="O98" i="344"/>
  <c r="O95" i="344"/>
  <c r="O94" i="344"/>
  <c r="O56" i="344"/>
  <c r="O103" i="344"/>
  <c r="O100" i="344"/>
  <c r="O55" i="344"/>
  <c r="O42" i="344"/>
  <c r="O36" i="344"/>
  <c r="O49" i="344"/>
  <c r="O93" i="344"/>
  <c r="O68" i="344"/>
  <c r="O75" i="344"/>
  <c r="O73" i="344"/>
  <c r="R105" i="344"/>
  <c r="O60" i="344"/>
  <c r="AB95" i="344"/>
  <c r="V7" i="344"/>
  <c r="T105" i="344"/>
  <c r="AB4" i="344" s="1"/>
  <c r="AB5" i="344" s="1"/>
  <c r="S105" i="344"/>
  <c r="AC4" i="344" s="1"/>
  <c r="Z59" i="344" s="1"/>
  <c r="V10" i="344"/>
  <c r="K105" i="344"/>
  <c r="K108" i="344" s="1"/>
  <c r="K110" i="344" s="1"/>
  <c r="AB97" i="344"/>
  <c r="N105" i="344"/>
  <c r="O20" i="344"/>
  <c r="O14" i="344"/>
  <c r="O12" i="344"/>
  <c r="O10" i="344"/>
  <c r="O5" i="344"/>
  <c r="O28" i="344"/>
  <c r="O2" i="344"/>
  <c r="O16" i="344"/>
  <c r="O8" i="344"/>
  <c r="O24" i="344"/>
  <c r="O15" i="344"/>
  <c r="O3" i="344"/>
  <c r="O4" i="344"/>
  <c r="O25" i="344"/>
  <c r="O11" i="344"/>
  <c r="O22" i="344"/>
  <c r="O29" i="344"/>
  <c r="O6" i="344"/>
  <c r="O13" i="344"/>
  <c r="O27" i="344"/>
  <c r="O19" i="344"/>
  <c r="O9" i="344"/>
  <c r="O17" i="344"/>
  <c r="O26" i="344"/>
  <c r="AE35" i="344"/>
  <c r="AC37" i="344"/>
  <c r="AA68" i="344"/>
  <c r="Z60" i="344"/>
  <c r="AD5" i="344"/>
  <c r="AA34" i="344" s="1"/>
  <c r="AB34" i="344" s="1"/>
  <c r="AA35" i="344"/>
  <c r="AC42" i="344"/>
  <c r="O80" i="344"/>
  <c r="O76" i="344"/>
  <c r="O72" i="344"/>
  <c r="O79" i="344"/>
  <c r="O77" i="344"/>
  <c r="O78" i="344"/>
  <c r="O71" i="344"/>
  <c r="O67" i="344"/>
  <c r="O63" i="344"/>
  <c r="O57" i="344"/>
  <c r="O74" i="344"/>
  <c r="O61" i="344"/>
  <c r="O69" i="344"/>
  <c r="O64" i="344"/>
  <c r="O59" i="344"/>
  <c r="O65" i="344"/>
  <c r="AD37" i="344"/>
  <c r="O58" i="344"/>
  <c r="O85" i="344"/>
  <c r="O92" i="344"/>
  <c r="O90" i="344"/>
  <c r="O86" i="344"/>
  <c r="O88" i="344"/>
  <c r="O89" i="344"/>
  <c r="AA3" i="344"/>
  <c r="Z13" i="344"/>
  <c r="AA4" i="344"/>
  <c r="Z18" i="344"/>
  <c r="Z24" i="344" s="1"/>
  <c r="W2" i="344" s="1"/>
  <c r="O7" i="344"/>
  <c r="O70" i="344"/>
  <c r="O81" i="344"/>
  <c r="O82" i="344"/>
  <c r="O87" i="344"/>
  <c r="AE36" i="344"/>
  <c r="O62" i="344"/>
  <c r="O84" i="344"/>
  <c r="AC44" i="343"/>
  <c r="V57" i="343"/>
  <c r="V65" i="343"/>
  <c r="V75" i="343"/>
  <c r="V47" i="343"/>
  <c r="V89" i="343"/>
  <c r="AC45" i="343"/>
  <c r="V91" i="343"/>
  <c r="V99" i="343"/>
  <c r="K105" i="343"/>
  <c r="K108" i="343" s="1"/>
  <c r="K110" i="343" s="1"/>
  <c r="V5" i="343"/>
  <c r="T7" i="343"/>
  <c r="V7" i="343" s="1"/>
  <c r="V14" i="343"/>
  <c r="AA15" i="343"/>
  <c r="N56" i="343"/>
  <c r="O69" i="343" s="1"/>
  <c r="AB61" i="343"/>
  <c r="V69" i="343"/>
  <c r="V83" i="343"/>
  <c r="V87" i="343"/>
  <c r="V102" i="343"/>
  <c r="V52" i="343"/>
  <c r="V59" i="343"/>
  <c r="T9" i="343"/>
  <c r="V9" i="343" s="1"/>
  <c r="AB102" i="343"/>
  <c r="V39" i="343"/>
  <c r="V48" i="343"/>
  <c r="V62" i="343"/>
  <c r="V67" i="343"/>
  <c r="V68" i="343"/>
  <c r="V72" i="343"/>
  <c r="V79" i="343"/>
  <c r="V82" i="343"/>
  <c r="V84" i="343"/>
  <c r="X84" i="343" s="1"/>
  <c r="V86" i="343"/>
  <c r="V94" i="343"/>
  <c r="V3" i="343"/>
  <c r="V11" i="343"/>
  <c r="V12" i="343"/>
  <c r="V37" i="343"/>
  <c r="V42" i="343"/>
  <c r="AB47" i="343"/>
  <c r="V60" i="343"/>
  <c r="V66" i="343"/>
  <c r="V76" i="343"/>
  <c r="N85" i="343"/>
  <c r="O89" i="343" s="1"/>
  <c r="V100" i="343"/>
  <c r="V10" i="343"/>
  <c r="V18" i="343"/>
  <c r="V31" i="343"/>
  <c r="V50" i="343"/>
  <c r="V58" i="343"/>
  <c r="AB62" i="343"/>
  <c r="V61" i="343"/>
  <c r="V70" i="343"/>
  <c r="V74" i="343"/>
  <c r="V80" i="343"/>
  <c r="O88" i="343"/>
  <c r="V93" i="343"/>
  <c r="N94" i="343"/>
  <c r="O96" i="343" s="1"/>
  <c r="V97" i="343"/>
  <c r="V103" i="343"/>
  <c r="V4" i="343"/>
  <c r="V17" i="343"/>
  <c r="V21" i="343"/>
  <c r="V24" i="343"/>
  <c r="V29" i="343"/>
  <c r="AA68" i="343"/>
  <c r="V40" i="343"/>
  <c r="V56" i="343"/>
  <c r="AC58" i="343"/>
  <c r="V63" i="343"/>
  <c r="V73" i="343"/>
  <c r="V77" i="343"/>
  <c r="V78" i="343"/>
  <c r="V85" i="343"/>
  <c r="V92" i="343"/>
  <c r="V96" i="343"/>
  <c r="AI59" i="341"/>
  <c r="V36" i="343"/>
  <c r="V38" i="343"/>
  <c r="V53" i="343"/>
  <c r="V30" i="343"/>
  <c r="V35" i="343"/>
  <c r="V41" i="343"/>
  <c r="V43" i="343"/>
  <c r="V44" i="343"/>
  <c r="V45" i="343"/>
  <c r="AB93" i="343"/>
  <c r="N27" i="343"/>
  <c r="O31" i="343" s="1"/>
  <c r="V33" i="343"/>
  <c r="V49" i="343"/>
  <c r="V55" i="343"/>
  <c r="V6" i="343"/>
  <c r="V22" i="343"/>
  <c r="V27" i="343"/>
  <c r="V8" i="343"/>
  <c r="V20" i="343"/>
  <c r="V13" i="343"/>
  <c r="V15" i="343"/>
  <c r="V28" i="343"/>
  <c r="V54" i="343"/>
  <c r="O72" i="343"/>
  <c r="O79" i="343"/>
  <c r="O77" i="343"/>
  <c r="O63" i="343"/>
  <c r="O59" i="343"/>
  <c r="N2" i="343"/>
  <c r="O12" i="343" s="1"/>
  <c r="Z14" i="343"/>
  <c r="AC36" i="343"/>
  <c r="AC37" i="343" s="1"/>
  <c r="Z37" i="343"/>
  <c r="N50" i="343"/>
  <c r="R52" i="343"/>
  <c r="AA10" i="343"/>
  <c r="V19" i="343"/>
  <c r="V23" i="343"/>
  <c r="V26" i="343"/>
  <c r="V32" i="343"/>
  <c r="AB100" i="343"/>
  <c r="AD34" i="343"/>
  <c r="AE34" i="343" s="1"/>
  <c r="R50" i="343"/>
  <c r="AA69" i="343"/>
  <c r="O78" i="343"/>
  <c r="N81" i="343"/>
  <c r="O94" i="343"/>
  <c r="Q105" i="343"/>
  <c r="S2" i="343"/>
  <c r="O8" i="343"/>
  <c r="V16" i="343"/>
  <c r="AB98" i="343"/>
  <c r="V25" i="343"/>
  <c r="O29" i="343"/>
  <c r="V34" i="343"/>
  <c r="AB36" i="343"/>
  <c r="T51" i="343"/>
  <c r="V51" i="343" s="1"/>
  <c r="O70" i="343"/>
  <c r="AC81" i="343"/>
  <c r="AB92" i="343"/>
  <c r="I105" i="343"/>
  <c r="O3" i="343"/>
  <c r="AI58" i="343"/>
  <c r="AJ58" i="343" s="1"/>
  <c r="AK58" i="343" s="1"/>
  <c r="AM58" i="343" s="1"/>
  <c r="AI59" i="343"/>
  <c r="AJ59" i="343" s="1"/>
  <c r="AK59" i="343" s="1"/>
  <c r="U105" i="343"/>
  <c r="AD4" i="343" s="1"/>
  <c r="R54" i="343"/>
  <c r="O58" i="343"/>
  <c r="AA62" i="343"/>
  <c r="AA61" i="343"/>
  <c r="O66" i="343"/>
  <c r="O85" i="343"/>
  <c r="V95" i="343"/>
  <c r="AA42" i="343"/>
  <c r="AC42" i="343" s="1"/>
  <c r="V46" i="343"/>
  <c r="V64" i="343"/>
  <c r="V71" i="343"/>
  <c r="O75" i="343"/>
  <c r="V88" i="343"/>
  <c r="V90" i="343"/>
  <c r="V98" i="343"/>
  <c r="V81" i="343"/>
  <c r="V101" i="343"/>
  <c r="AH60" i="342"/>
  <c r="AI59" i="342" s="1"/>
  <c r="AJ59" i="342" s="1"/>
  <c r="U123" i="342"/>
  <c r="I113" i="342"/>
  <c r="P105" i="342"/>
  <c r="M105" i="342"/>
  <c r="J105" i="342"/>
  <c r="U103" i="342"/>
  <c r="T103" i="342"/>
  <c r="S103" i="342"/>
  <c r="Q103" i="342"/>
  <c r="K103" i="342"/>
  <c r="AA102" i="342"/>
  <c r="U102" i="342"/>
  <c r="T102" i="342"/>
  <c r="S102" i="342"/>
  <c r="Q102" i="342"/>
  <c r="K102" i="342"/>
  <c r="U101" i="342"/>
  <c r="T101" i="342"/>
  <c r="S101" i="342"/>
  <c r="Q101" i="342"/>
  <c r="K101" i="342"/>
  <c r="AA100" i="342"/>
  <c r="U100" i="342"/>
  <c r="T100" i="342"/>
  <c r="S100" i="342"/>
  <c r="Q100" i="342"/>
  <c r="K100" i="342"/>
  <c r="AA99" i="342"/>
  <c r="U99" i="342"/>
  <c r="T99" i="342"/>
  <c r="S99" i="342"/>
  <c r="Q99" i="342"/>
  <c r="K99" i="342"/>
  <c r="AA98" i="342"/>
  <c r="U98" i="342"/>
  <c r="T98" i="342"/>
  <c r="S98" i="342"/>
  <c r="Q98" i="342"/>
  <c r="K98" i="342"/>
  <c r="U97" i="342"/>
  <c r="T97" i="342"/>
  <c r="S97" i="342"/>
  <c r="Q97" i="342"/>
  <c r="K97" i="342"/>
  <c r="U96" i="342"/>
  <c r="T96" i="342"/>
  <c r="S96" i="342"/>
  <c r="Q96" i="342"/>
  <c r="K96" i="342"/>
  <c r="AA95" i="342"/>
  <c r="U95" i="342"/>
  <c r="T95" i="342"/>
  <c r="S95" i="342"/>
  <c r="Q95" i="342"/>
  <c r="K95" i="342"/>
  <c r="AA94" i="342"/>
  <c r="U94" i="342"/>
  <c r="T94" i="342"/>
  <c r="S94" i="342"/>
  <c r="Q94" i="342"/>
  <c r="K94" i="342"/>
  <c r="AA93" i="342"/>
  <c r="U93" i="342"/>
  <c r="T93" i="342"/>
  <c r="S93" i="342"/>
  <c r="Q93" i="342"/>
  <c r="K93" i="342"/>
  <c r="U92" i="342"/>
  <c r="T92" i="342"/>
  <c r="S92" i="342"/>
  <c r="Q92" i="342"/>
  <c r="K92" i="342"/>
  <c r="U91" i="342"/>
  <c r="T91" i="342"/>
  <c r="S91" i="342"/>
  <c r="Q91" i="342"/>
  <c r="K91" i="342"/>
  <c r="U90" i="342"/>
  <c r="T90" i="342"/>
  <c r="S90" i="342"/>
  <c r="Q90" i="342"/>
  <c r="K90" i="342"/>
  <c r="U89" i="342"/>
  <c r="T89" i="342"/>
  <c r="S89" i="342"/>
  <c r="Q89" i="342"/>
  <c r="K89" i="342"/>
  <c r="U88" i="342"/>
  <c r="T88" i="342"/>
  <c r="S88" i="342"/>
  <c r="Q88" i="342"/>
  <c r="K88" i="342"/>
  <c r="AE87" i="342"/>
  <c r="AA87" i="342"/>
  <c r="Y87" i="342"/>
  <c r="U87" i="342"/>
  <c r="T87" i="342"/>
  <c r="S87" i="342"/>
  <c r="Q87" i="342"/>
  <c r="K87" i="342"/>
  <c r="AF86" i="342"/>
  <c r="AG86" i="342" s="1"/>
  <c r="AH86" i="342" s="1"/>
  <c r="AH87" i="342" s="1"/>
  <c r="AH88" i="342" s="1"/>
  <c r="U86" i="342"/>
  <c r="T86" i="342"/>
  <c r="S86" i="342"/>
  <c r="Q86" i="342"/>
  <c r="K86" i="342"/>
  <c r="U85" i="342"/>
  <c r="T85" i="342"/>
  <c r="S85" i="342"/>
  <c r="Q85" i="342"/>
  <c r="K85" i="342"/>
  <c r="U84" i="342"/>
  <c r="T84" i="342"/>
  <c r="S84" i="342"/>
  <c r="Q84" i="342"/>
  <c r="K84" i="342"/>
  <c r="U83" i="342"/>
  <c r="T83" i="342"/>
  <c r="S83" i="342"/>
  <c r="Q83" i="342"/>
  <c r="K83" i="342"/>
  <c r="U82" i="342"/>
  <c r="T82" i="342"/>
  <c r="S82" i="342"/>
  <c r="Q82" i="342"/>
  <c r="K82" i="342"/>
  <c r="AA81" i="342"/>
  <c r="AA86" i="342" s="1"/>
  <c r="AB86" i="342" s="1"/>
  <c r="AC86" i="342" s="1"/>
  <c r="AD86" i="342" s="1"/>
  <c r="AD87" i="342" s="1"/>
  <c r="AD88" i="342" s="1"/>
  <c r="Z81" i="342"/>
  <c r="U81" i="342"/>
  <c r="T81" i="342"/>
  <c r="S81" i="342"/>
  <c r="Q81" i="342"/>
  <c r="K81" i="342"/>
  <c r="AI80" i="342"/>
  <c r="U80" i="342"/>
  <c r="T80" i="342"/>
  <c r="S80" i="342"/>
  <c r="Q80" i="342"/>
  <c r="K80" i="342"/>
  <c r="AI79" i="342"/>
  <c r="U79" i="342"/>
  <c r="T79" i="342"/>
  <c r="S79" i="342"/>
  <c r="Q79" i="342"/>
  <c r="K79" i="342"/>
  <c r="AI78" i="342"/>
  <c r="U78" i="342"/>
  <c r="T78" i="342"/>
  <c r="S78" i="342"/>
  <c r="Q78" i="342"/>
  <c r="K78" i="342"/>
  <c r="U77" i="342"/>
  <c r="T77" i="342"/>
  <c r="S77" i="342"/>
  <c r="Q77" i="342"/>
  <c r="K77" i="342"/>
  <c r="U76" i="342"/>
  <c r="T76" i="342"/>
  <c r="S76" i="342"/>
  <c r="Q76" i="342"/>
  <c r="K76" i="342"/>
  <c r="U75" i="342"/>
  <c r="T75" i="342"/>
  <c r="S75" i="342"/>
  <c r="Q75" i="342"/>
  <c r="K75" i="342"/>
  <c r="U74" i="342"/>
  <c r="T74" i="342"/>
  <c r="S74" i="342"/>
  <c r="Q74" i="342"/>
  <c r="K74" i="342"/>
  <c r="AD73" i="342"/>
  <c r="Z73" i="342"/>
  <c r="U73" i="342"/>
  <c r="T73" i="342"/>
  <c r="S73" i="342"/>
  <c r="Q73" i="342"/>
  <c r="K73" i="342"/>
  <c r="Z72" i="342"/>
  <c r="U72" i="342"/>
  <c r="T72" i="342"/>
  <c r="S72" i="342"/>
  <c r="Q72" i="342"/>
  <c r="K72" i="342"/>
  <c r="U71" i="342"/>
  <c r="T71" i="342"/>
  <c r="S71" i="342"/>
  <c r="Q71" i="342"/>
  <c r="K71" i="342"/>
  <c r="U70" i="342"/>
  <c r="T70" i="342"/>
  <c r="S70" i="342"/>
  <c r="Q70" i="342"/>
  <c r="K70" i="342"/>
  <c r="U69" i="342"/>
  <c r="T69" i="342"/>
  <c r="S69" i="342"/>
  <c r="Q69" i="342"/>
  <c r="K69" i="342"/>
  <c r="U68" i="342"/>
  <c r="T68" i="342"/>
  <c r="S68" i="342"/>
  <c r="Q68" i="342"/>
  <c r="K68" i="342"/>
  <c r="AA67" i="342"/>
  <c r="U67" i="342"/>
  <c r="T67" i="342"/>
  <c r="S67" i="342"/>
  <c r="Q67" i="342"/>
  <c r="K67" i="342"/>
  <c r="U66" i="342"/>
  <c r="T66" i="342"/>
  <c r="S66" i="342"/>
  <c r="Q66" i="342"/>
  <c r="K66" i="342"/>
  <c r="U65" i="342"/>
  <c r="T65" i="342"/>
  <c r="S65" i="342"/>
  <c r="Q65" i="342"/>
  <c r="K65" i="342"/>
  <c r="U64" i="342"/>
  <c r="T64" i="342"/>
  <c r="S64" i="342"/>
  <c r="Q64" i="342"/>
  <c r="K64" i="342"/>
  <c r="U63" i="342"/>
  <c r="T63" i="342"/>
  <c r="S63" i="342"/>
  <c r="Q63" i="342"/>
  <c r="K63" i="342"/>
  <c r="AC62" i="342"/>
  <c r="U62" i="342"/>
  <c r="T62" i="342"/>
  <c r="S62" i="342"/>
  <c r="Q62" i="342"/>
  <c r="K62" i="342"/>
  <c r="U61" i="342"/>
  <c r="T61" i="342"/>
  <c r="S61" i="342"/>
  <c r="Q61" i="342"/>
  <c r="K61" i="342"/>
  <c r="U60" i="342"/>
  <c r="T60" i="342"/>
  <c r="S60" i="342"/>
  <c r="Q60" i="342"/>
  <c r="K60" i="342"/>
  <c r="AE59" i="342"/>
  <c r="AB59" i="342"/>
  <c r="AA59" i="342"/>
  <c r="AC79" i="342" s="1"/>
  <c r="U59" i="342"/>
  <c r="T59" i="342"/>
  <c r="S59" i="342"/>
  <c r="Q59" i="342"/>
  <c r="K59" i="342"/>
  <c r="AB58" i="342"/>
  <c r="AA58" i="342"/>
  <c r="U58" i="342"/>
  <c r="T58" i="342"/>
  <c r="S58" i="342"/>
  <c r="Q58" i="342"/>
  <c r="K58" i="342"/>
  <c r="U57" i="342"/>
  <c r="T57" i="342"/>
  <c r="S57" i="342"/>
  <c r="Q57" i="342"/>
  <c r="K57" i="342"/>
  <c r="U56" i="342"/>
  <c r="T56" i="342"/>
  <c r="S56" i="342"/>
  <c r="Q56" i="342"/>
  <c r="K56" i="342"/>
  <c r="Y55" i="342"/>
  <c r="U55" i="342"/>
  <c r="T55" i="342"/>
  <c r="S55" i="342"/>
  <c r="Q55" i="342"/>
  <c r="K55" i="342"/>
  <c r="U54" i="342"/>
  <c r="T54" i="342"/>
  <c r="S54" i="342"/>
  <c r="Q54" i="342"/>
  <c r="K54" i="342"/>
  <c r="Y53" i="342"/>
  <c r="U53" i="342"/>
  <c r="T53" i="342"/>
  <c r="Q53" i="342"/>
  <c r="S53" i="342" s="1"/>
  <c r="K53" i="342"/>
  <c r="U52" i="342"/>
  <c r="T52" i="342"/>
  <c r="S52" i="342"/>
  <c r="Q52" i="342"/>
  <c r="K52" i="342"/>
  <c r="Y51" i="342"/>
  <c r="U51" i="342"/>
  <c r="Q51" i="342"/>
  <c r="T51" i="342" s="1"/>
  <c r="K51" i="342"/>
  <c r="AB50" i="342"/>
  <c r="U50" i="342"/>
  <c r="T50" i="342"/>
  <c r="S50" i="342"/>
  <c r="Q50" i="342"/>
  <c r="K50" i="342"/>
  <c r="Y49" i="342"/>
  <c r="Z49" i="342" s="1"/>
  <c r="U49" i="342"/>
  <c r="T49" i="342"/>
  <c r="S49" i="342"/>
  <c r="Q49" i="342"/>
  <c r="K49" i="342"/>
  <c r="Y48" i="342"/>
  <c r="Z48" i="342" s="1"/>
  <c r="U48" i="342"/>
  <c r="T48" i="342"/>
  <c r="S48" i="342"/>
  <c r="Q48" i="342"/>
  <c r="K48" i="342"/>
  <c r="U47" i="342"/>
  <c r="T47" i="342"/>
  <c r="S47" i="342"/>
  <c r="Q47" i="342"/>
  <c r="K47" i="342"/>
  <c r="U46" i="342"/>
  <c r="T46" i="342"/>
  <c r="Q46" i="342"/>
  <c r="S46" i="342" s="1"/>
  <c r="K46" i="342"/>
  <c r="AB45" i="342"/>
  <c r="AA45" i="342"/>
  <c r="U45" i="342"/>
  <c r="T45" i="342"/>
  <c r="S45" i="342"/>
  <c r="Q45" i="342"/>
  <c r="K45" i="342"/>
  <c r="AB44" i="342"/>
  <c r="AA44" i="342"/>
  <c r="U44" i="342"/>
  <c r="T44" i="342"/>
  <c r="S44" i="342"/>
  <c r="Q44" i="342"/>
  <c r="K44" i="342"/>
  <c r="AB43" i="342"/>
  <c r="AA43" i="342"/>
  <c r="U43" i="342"/>
  <c r="T43" i="342"/>
  <c r="S43" i="342"/>
  <c r="Q43" i="342"/>
  <c r="K43" i="342"/>
  <c r="U42" i="342"/>
  <c r="T42" i="342"/>
  <c r="S42" i="342"/>
  <c r="Q42" i="342"/>
  <c r="K42" i="342"/>
  <c r="U41" i="342"/>
  <c r="T41" i="342"/>
  <c r="S41" i="342"/>
  <c r="Q41" i="342"/>
  <c r="K41" i="342"/>
  <c r="U40" i="342"/>
  <c r="T40" i="342"/>
  <c r="S40" i="342"/>
  <c r="K40" i="342"/>
  <c r="U39" i="342"/>
  <c r="T39" i="342"/>
  <c r="S39" i="342"/>
  <c r="Q39" i="342"/>
  <c r="K39" i="342"/>
  <c r="U38" i="342"/>
  <c r="T38" i="342"/>
  <c r="S38" i="342"/>
  <c r="Q38" i="342"/>
  <c r="K38" i="342"/>
  <c r="U37" i="342"/>
  <c r="T37" i="342"/>
  <c r="S37" i="342"/>
  <c r="Q37" i="342"/>
  <c r="K37" i="342"/>
  <c r="Z36" i="342"/>
  <c r="U36" i="342"/>
  <c r="T36" i="342"/>
  <c r="S36" i="342"/>
  <c r="Q36" i="342"/>
  <c r="K36" i="342"/>
  <c r="Z35" i="342"/>
  <c r="U35" i="342"/>
  <c r="T35" i="342"/>
  <c r="S35" i="342"/>
  <c r="Q35" i="342"/>
  <c r="K35" i="342"/>
  <c r="AC34" i="342"/>
  <c r="AC36" i="342" s="1"/>
  <c r="U34" i="342"/>
  <c r="T34" i="342"/>
  <c r="S34" i="342"/>
  <c r="Q34" i="342"/>
  <c r="K34" i="342"/>
  <c r="U33" i="342"/>
  <c r="T33" i="342"/>
  <c r="S33" i="342"/>
  <c r="Q33" i="342"/>
  <c r="K33" i="342"/>
  <c r="U32" i="342"/>
  <c r="T32" i="342"/>
  <c r="S32" i="342"/>
  <c r="Q32" i="342"/>
  <c r="K32" i="342"/>
  <c r="U31" i="342"/>
  <c r="T31" i="342"/>
  <c r="S31" i="342"/>
  <c r="Q31" i="342"/>
  <c r="K31" i="342"/>
  <c r="Z30" i="342"/>
  <c r="Z10" i="342" s="1"/>
  <c r="U30" i="342"/>
  <c r="T30" i="342"/>
  <c r="S30" i="342"/>
  <c r="Q30" i="342"/>
  <c r="K30" i="342"/>
  <c r="U29" i="342"/>
  <c r="T29" i="342"/>
  <c r="S29" i="342"/>
  <c r="Q29" i="342"/>
  <c r="K29" i="342"/>
  <c r="U28" i="342"/>
  <c r="T28" i="342"/>
  <c r="S28" i="342"/>
  <c r="Q28" i="342"/>
  <c r="K28" i="342"/>
  <c r="U27" i="342"/>
  <c r="T27" i="342"/>
  <c r="S27" i="342"/>
  <c r="Q27" i="342"/>
  <c r="K27" i="342"/>
  <c r="T26" i="342"/>
  <c r="S26" i="342"/>
  <c r="Q26" i="342"/>
  <c r="U26" i="342" s="1"/>
  <c r="K26" i="342"/>
  <c r="U25" i="342"/>
  <c r="T25" i="342"/>
  <c r="Q25" i="342"/>
  <c r="S25" i="342" s="1"/>
  <c r="K25" i="342"/>
  <c r="U24" i="342"/>
  <c r="T24" i="342"/>
  <c r="S24" i="342"/>
  <c r="Q24" i="342"/>
  <c r="K24" i="342"/>
  <c r="U23" i="342"/>
  <c r="T23" i="342"/>
  <c r="S23" i="342"/>
  <c r="Q23" i="342"/>
  <c r="K23" i="342"/>
  <c r="U22" i="342"/>
  <c r="T22" i="342"/>
  <c r="Q22" i="342"/>
  <c r="S22" i="342" s="1"/>
  <c r="K22" i="342"/>
  <c r="U21" i="342"/>
  <c r="T21" i="342"/>
  <c r="S21" i="342"/>
  <c r="Q21" i="342"/>
  <c r="K21" i="342"/>
  <c r="U20" i="342"/>
  <c r="T20" i="342"/>
  <c r="Q20" i="342"/>
  <c r="S20" i="342" s="1"/>
  <c r="K20" i="342"/>
  <c r="U19" i="342"/>
  <c r="T19" i="342"/>
  <c r="Q19" i="342"/>
  <c r="S19" i="342" s="1"/>
  <c r="K19" i="342"/>
  <c r="U18" i="342"/>
  <c r="S18" i="342"/>
  <c r="AB99" i="342" s="1"/>
  <c r="Q18" i="342"/>
  <c r="T18" i="342" s="1"/>
  <c r="AB94" i="342" s="1"/>
  <c r="K18" i="342"/>
  <c r="U17" i="342"/>
  <c r="Q17" i="342"/>
  <c r="T17" i="342" s="1"/>
  <c r="K17" i="342"/>
  <c r="U16" i="342"/>
  <c r="T16" i="342"/>
  <c r="S16" i="342"/>
  <c r="K16" i="342"/>
  <c r="Z15" i="342"/>
  <c r="U15" i="342"/>
  <c r="T15" i="342"/>
  <c r="Q15" i="342"/>
  <c r="S15" i="342" s="1"/>
  <c r="K15" i="342"/>
  <c r="U14" i="342"/>
  <c r="T14" i="342"/>
  <c r="Q14" i="342"/>
  <c r="S14" i="342" s="1"/>
  <c r="K14" i="342"/>
  <c r="U13" i="342"/>
  <c r="T13" i="342"/>
  <c r="Q13" i="342"/>
  <c r="S13" i="342" s="1"/>
  <c r="K13" i="342"/>
  <c r="AC12" i="342"/>
  <c r="AB12" i="342"/>
  <c r="AA12" i="342"/>
  <c r="U12" i="342"/>
  <c r="T12" i="342"/>
  <c r="Q12" i="342"/>
  <c r="S12" i="342" s="1"/>
  <c r="K12" i="342"/>
  <c r="AA11" i="342"/>
  <c r="U11" i="342"/>
  <c r="T11" i="342"/>
  <c r="Q11" i="342"/>
  <c r="S11" i="342" s="1"/>
  <c r="K11" i="342"/>
  <c r="AB10" i="342"/>
  <c r="AC58" i="342" s="1"/>
  <c r="U10" i="342"/>
  <c r="T10" i="342"/>
  <c r="Q10" i="342"/>
  <c r="S10" i="342" s="1"/>
  <c r="K10" i="342"/>
  <c r="AA9" i="342"/>
  <c r="U9" i="342"/>
  <c r="Q9" i="342"/>
  <c r="T9" i="342" s="1"/>
  <c r="K9" i="342"/>
  <c r="U8" i="342"/>
  <c r="T8" i="342"/>
  <c r="Q8" i="342"/>
  <c r="S8" i="342" s="1"/>
  <c r="K8" i="342"/>
  <c r="Z7" i="342"/>
  <c r="U7" i="342"/>
  <c r="Q7" i="342"/>
  <c r="S7" i="342" s="1"/>
  <c r="I7" i="342"/>
  <c r="AB42" i="342" s="1"/>
  <c r="H7" i="342"/>
  <c r="Z6" i="342"/>
  <c r="U6" i="342"/>
  <c r="T6" i="342"/>
  <c r="Q6" i="342"/>
  <c r="S6" i="342" s="1"/>
  <c r="K6" i="342"/>
  <c r="U5" i="342"/>
  <c r="S5" i="342"/>
  <c r="Q5" i="342"/>
  <c r="T5" i="342" s="1"/>
  <c r="K5" i="342"/>
  <c r="U4" i="342"/>
  <c r="S4" i="342"/>
  <c r="Q4" i="342"/>
  <c r="T4" i="342" s="1"/>
  <c r="K4" i="342"/>
  <c r="U3" i="342"/>
  <c r="S3" i="342"/>
  <c r="Q3" i="342"/>
  <c r="T3" i="342" s="1"/>
  <c r="K3" i="342"/>
  <c r="U2" i="342"/>
  <c r="T2" i="342"/>
  <c r="Q2" i="342"/>
  <c r="K2" i="342"/>
  <c r="X55" i="347" l="1"/>
  <c r="W56" i="347"/>
  <c r="AE5" i="346"/>
  <c r="AF80" i="346"/>
  <c r="Z4" i="346"/>
  <c r="Z3" i="346"/>
  <c r="AG4" i="346"/>
  <c r="AF4" i="346"/>
  <c r="L2" i="346"/>
  <c r="L3" i="346" s="1"/>
  <c r="L4" i="346" s="1"/>
  <c r="L5" i="346" s="1"/>
  <c r="L6" i="346" s="1"/>
  <c r="L7" i="346" s="1"/>
  <c r="L8" i="346" s="1"/>
  <c r="L9" i="346" s="1"/>
  <c r="L10" i="346" s="1"/>
  <c r="L11" i="346" s="1"/>
  <c r="L12" i="346" s="1"/>
  <c r="L13" i="346" s="1"/>
  <c r="L14" i="346" s="1"/>
  <c r="L15" i="346" s="1"/>
  <c r="L16" i="346" s="1"/>
  <c r="L17" i="346" s="1"/>
  <c r="L18" i="346" s="1"/>
  <c r="L19" i="346" s="1"/>
  <c r="L20" i="346" s="1"/>
  <c r="L21" i="346" s="1"/>
  <c r="L22" i="346" s="1"/>
  <c r="L23" i="346" s="1"/>
  <c r="L24" i="346" s="1"/>
  <c r="L25" i="346" s="1"/>
  <c r="L26" i="346" s="1"/>
  <c r="L27" i="346" s="1"/>
  <c r="L28" i="346" s="1"/>
  <c r="L29" i="346" s="1"/>
  <c r="L30" i="346" s="1"/>
  <c r="L31" i="346" s="1"/>
  <c r="L32" i="346" s="1"/>
  <c r="L33" i="346" s="1"/>
  <c r="L34" i="346" s="1"/>
  <c r="L35" i="346" s="1"/>
  <c r="L36" i="346" s="1"/>
  <c r="L37" i="346" s="1"/>
  <c r="L38" i="346" s="1"/>
  <c r="L39" i="346" s="1"/>
  <c r="L40" i="346" s="1"/>
  <c r="L41" i="346" s="1"/>
  <c r="L42" i="346" s="1"/>
  <c r="L43" i="346" s="1"/>
  <c r="L44" i="346" s="1"/>
  <c r="L45" i="346" s="1"/>
  <c r="L46" i="346" s="1"/>
  <c r="L47" i="346" s="1"/>
  <c r="L48" i="346" s="1"/>
  <c r="L49" i="346" s="1"/>
  <c r="L50" i="346" s="1"/>
  <c r="L51" i="346" s="1"/>
  <c r="L52" i="346" s="1"/>
  <c r="L53" i="346" s="1"/>
  <c r="L54" i="346" s="1"/>
  <c r="L55" i="346" s="1"/>
  <c r="L56" i="346" s="1"/>
  <c r="L57" i="346" s="1"/>
  <c r="L58" i="346" s="1"/>
  <c r="L59" i="346" s="1"/>
  <c r="L60" i="346" s="1"/>
  <c r="L61" i="346" s="1"/>
  <c r="L62" i="346" s="1"/>
  <c r="L63" i="346" s="1"/>
  <c r="L64" i="346" s="1"/>
  <c r="L65" i="346" s="1"/>
  <c r="L66" i="346" s="1"/>
  <c r="L67" i="346" s="1"/>
  <c r="L68" i="346" s="1"/>
  <c r="L69" i="346" s="1"/>
  <c r="L70" i="346" s="1"/>
  <c r="L71" i="346" s="1"/>
  <c r="L72" i="346" s="1"/>
  <c r="L73" i="346" s="1"/>
  <c r="L74" i="346" s="1"/>
  <c r="L75" i="346" s="1"/>
  <c r="L76" i="346" s="1"/>
  <c r="L77" i="346" s="1"/>
  <c r="L78" i="346" s="1"/>
  <c r="L79" i="346" s="1"/>
  <c r="L80" i="346" s="1"/>
  <c r="L81" i="346" s="1"/>
  <c r="L82" i="346" s="1"/>
  <c r="L83" i="346" s="1"/>
  <c r="L84" i="346" s="1"/>
  <c r="L85" i="346" s="1"/>
  <c r="L86" i="346" s="1"/>
  <c r="L87" i="346" s="1"/>
  <c r="L88" i="346" s="1"/>
  <c r="L89" i="346" s="1"/>
  <c r="L90" i="346" s="1"/>
  <c r="L91" i="346" s="1"/>
  <c r="L92" i="346" s="1"/>
  <c r="L93" i="346" s="1"/>
  <c r="L94" i="346" s="1"/>
  <c r="L95" i="346" s="1"/>
  <c r="L96" i="346" s="1"/>
  <c r="L97" i="346" s="1"/>
  <c r="L98" i="346" s="1"/>
  <c r="L99" i="346" s="1"/>
  <c r="L100" i="346" s="1"/>
  <c r="L101" i="346" s="1"/>
  <c r="L102" i="346" s="1"/>
  <c r="L103" i="346" s="1"/>
  <c r="L105" i="346" s="1"/>
  <c r="Z61" i="346"/>
  <c r="AB17" i="346" s="1"/>
  <c r="AD58" i="346"/>
  <c r="Z62" i="346"/>
  <c r="AB78" i="346"/>
  <c r="AB79" i="346"/>
  <c r="AD79" i="346" s="1"/>
  <c r="AK76" i="346" s="1"/>
  <c r="AL76" i="346" s="1"/>
  <c r="AD59" i="346"/>
  <c r="AE79" i="346" s="1"/>
  <c r="AG3" i="346"/>
  <c r="AA5" i="346"/>
  <c r="AF3" i="346"/>
  <c r="W3" i="346"/>
  <c r="AF5" i="345"/>
  <c r="AG5" i="345"/>
  <c r="AB79" i="345"/>
  <c r="AD79" i="345" s="1"/>
  <c r="AK76" i="345" s="1"/>
  <c r="AL76" i="345" s="1"/>
  <c r="AD59" i="345"/>
  <c r="AD61" i="345" s="1"/>
  <c r="Z62" i="345"/>
  <c r="Z61" i="345"/>
  <c r="AB17" i="345" s="1"/>
  <c r="X2" i="345"/>
  <c r="AD62" i="345"/>
  <c r="AE78" i="345"/>
  <c r="W4" i="345"/>
  <c r="X3" i="345"/>
  <c r="AD78" i="345"/>
  <c r="AE37" i="344"/>
  <c r="V105" i="344"/>
  <c r="AC5" i="344"/>
  <c r="AE5" i="344" s="1"/>
  <c r="Z58" i="344"/>
  <c r="Z62" i="344" s="1"/>
  <c r="AE4" i="344"/>
  <c r="AF4" i="344" s="1"/>
  <c r="AF3" i="344"/>
  <c r="AA5" i="344"/>
  <c r="AG3" i="344"/>
  <c r="AB79" i="344"/>
  <c r="AD79" i="344" s="1"/>
  <c r="AK76" i="344" s="1"/>
  <c r="AL76" i="344" s="1"/>
  <c r="AD59" i="344"/>
  <c r="W3" i="344"/>
  <c r="AA37" i="344"/>
  <c r="AB37" i="344" s="1"/>
  <c r="AB35" i="344"/>
  <c r="AG4" i="344"/>
  <c r="L2" i="344"/>
  <c r="L3" i="344" s="1"/>
  <c r="L4" i="344" s="1"/>
  <c r="L5" i="344" s="1"/>
  <c r="L6" i="344" s="1"/>
  <c r="L7" i="344" s="1"/>
  <c r="L8" i="344" s="1"/>
  <c r="L9" i="344" s="1"/>
  <c r="L10" i="344" s="1"/>
  <c r="L11" i="344" s="1"/>
  <c r="L12" i="344" s="1"/>
  <c r="L13" i="344" s="1"/>
  <c r="L14" i="344" s="1"/>
  <c r="L15" i="344" s="1"/>
  <c r="L16" i="344" s="1"/>
  <c r="L17" i="344" s="1"/>
  <c r="L18" i="344" s="1"/>
  <c r="L19" i="344" s="1"/>
  <c r="L20" i="344" s="1"/>
  <c r="L21" i="344" s="1"/>
  <c r="L22" i="344" s="1"/>
  <c r="L23" i="344" s="1"/>
  <c r="L24" i="344" s="1"/>
  <c r="L25" i="344" s="1"/>
  <c r="L26" i="344" s="1"/>
  <c r="L27" i="344" s="1"/>
  <c r="L28" i="344" s="1"/>
  <c r="L29" i="344" s="1"/>
  <c r="L30" i="344" s="1"/>
  <c r="L31" i="344" s="1"/>
  <c r="L32" i="344" s="1"/>
  <c r="L33" i="344" s="1"/>
  <c r="L34" i="344" s="1"/>
  <c r="L35" i="344" s="1"/>
  <c r="L36" i="344" s="1"/>
  <c r="L37" i="344" s="1"/>
  <c r="L38" i="344" s="1"/>
  <c r="L39" i="344" s="1"/>
  <c r="L40" i="344" s="1"/>
  <c r="L41" i="344" s="1"/>
  <c r="L42" i="344" s="1"/>
  <c r="L43" i="344" s="1"/>
  <c r="L44" i="344" s="1"/>
  <c r="L45" i="344" s="1"/>
  <c r="L46" i="344" s="1"/>
  <c r="L47" i="344" s="1"/>
  <c r="L48" i="344" s="1"/>
  <c r="L49" i="344" s="1"/>
  <c r="L50" i="344" s="1"/>
  <c r="L51" i="344" s="1"/>
  <c r="L52" i="344" s="1"/>
  <c r="L53" i="344" s="1"/>
  <c r="L54" i="344" s="1"/>
  <c r="L55" i="344" s="1"/>
  <c r="L56" i="344" s="1"/>
  <c r="L57" i="344" s="1"/>
  <c r="L58" i="344" s="1"/>
  <c r="L59" i="344" s="1"/>
  <c r="L60" i="344" s="1"/>
  <c r="L61" i="344" s="1"/>
  <c r="L62" i="344" s="1"/>
  <c r="L63" i="344" s="1"/>
  <c r="L64" i="344" s="1"/>
  <c r="L65" i="344" s="1"/>
  <c r="L66" i="344" s="1"/>
  <c r="L67" i="344" s="1"/>
  <c r="L68" i="344" s="1"/>
  <c r="L69" i="344" s="1"/>
  <c r="L70" i="344" s="1"/>
  <c r="L71" i="344" s="1"/>
  <c r="L72" i="344" s="1"/>
  <c r="L73" i="344" s="1"/>
  <c r="L74" i="344" s="1"/>
  <c r="L75" i="344" s="1"/>
  <c r="L76" i="344" s="1"/>
  <c r="L77" i="344" s="1"/>
  <c r="L78" i="344" s="1"/>
  <c r="L79" i="344" s="1"/>
  <c r="L80" i="344" s="1"/>
  <c r="L81" i="344" s="1"/>
  <c r="L82" i="344" s="1"/>
  <c r="L83" i="344" s="1"/>
  <c r="L84" i="344" s="1"/>
  <c r="L85" i="344" s="1"/>
  <c r="L86" i="344" s="1"/>
  <c r="L87" i="344" s="1"/>
  <c r="L88" i="344" s="1"/>
  <c r="L89" i="344" s="1"/>
  <c r="L90" i="344" s="1"/>
  <c r="L91" i="344" s="1"/>
  <c r="L92" i="344" s="1"/>
  <c r="L93" i="344" s="1"/>
  <c r="L94" i="344" s="1"/>
  <c r="L95" i="344" s="1"/>
  <c r="L96" i="344" s="1"/>
  <c r="L97" i="344" s="1"/>
  <c r="L98" i="344" s="1"/>
  <c r="L99" i="344" s="1"/>
  <c r="L100" i="344" s="1"/>
  <c r="L101" i="344" s="1"/>
  <c r="L102" i="344" s="1"/>
  <c r="L103" i="344" s="1"/>
  <c r="L105" i="344" s="1"/>
  <c r="Z4" i="344"/>
  <c r="Z3" i="344"/>
  <c r="AD60" i="344"/>
  <c r="AB80" i="344"/>
  <c r="AD80" i="344" s="1"/>
  <c r="AK77" i="344" s="1"/>
  <c r="AL77" i="344" s="1"/>
  <c r="Z53" i="344"/>
  <c r="O93" i="343"/>
  <c r="AB95" i="343"/>
  <c r="O35" i="343"/>
  <c r="O27" i="343"/>
  <c r="R105" i="343"/>
  <c r="O14" i="343"/>
  <c r="O90" i="343"/>
  <c r="O71" i="343"/>
  <c r="O68" i="343"/>
  <c r="O76" i="343"/>
  <c r="O65" i="343"/>
  <c r="O80" i="343"/>
  <c r="O98" i="343"/>
  <c r="O74" i="343"/>
  <c r="O95" i="343"/>
  <c r="O67" i="343"/>
  <c r="O57" i="343"/>
  <c r="O33" i="343"/>
  <c r="O64" i="343"/>
  <c r="O73" i="343"/>
  <c r="O62" i="343"/>
  <c r="O91" i="343"/>
  <c r="O60" i="343"/>
  <c r="O87" i="343"/>
  <c r="O86" i="343"/>
  <c r="O24" i="343"/>
  <c r="O2" i="343"/>
  <c r="O61" i="343"/>
  <c r="T105" i="343"/>
  <c r="AB4" i="343" s="1"/>
  <c r="O42" i="343"/>
  <c r="O103" i="343"/>
  <c r="O100" i="343"/>
  <c r="O97" i="343"/>
  <c r="O102" i="343"/>
  <c r="O101" i="343"/>
  <c r="O99" i="343"/>
  <c r="O92" i="343"/>
  <c r="O26" i="343"/>
  <c r="O36" i="343"/>
  <c r="O37" i="343"/>
  <c r="O38" i="343"/>
  <c r="O54" i="343"/>
  <c r="O55" i="343"/>
  <c r="O43" i="343"/>
  <c r="O44" i="343"/>
  <c r="O34" i="343"/>
  <c r="O47" i="343"/>
  <c r="O46" i="343"/>
  <c r="O45" i="343"/>
  <c r="O56" i="343"/>
  <c r="O53" i="343"/>
  <c r="O39" i="343"/>
  <c r="O41" i="343"/>
  <c r="O32" i="343"/>
  <c r="O30" i="343"/>
  <c r="O49" i="343"/>
  <c r="O50" i="343"/>
  <c r="O10" i="343"/>
  <c r="O81" i="343"/>
  <c r="O84" i="343"/>
  <c r="AD5" i="343"/>
  <c r="AA34" i="343" s="1"/>
  <c r="AB34" i="343" s="1"/>
  <c r="Z60" i="343"/>
  <c r="AA35" i="343"/>
  <c r="S105" i="343"/>
  <c r="AC4" i="343" s="1"/>
  <c r="AB97" i="343"/>
  <c r="V2" i="343"/>
  <c r="V105" i="343" s="1"/>
  <c r="O83" i="343"/>
  <c r="O15" i="343"/>
  <c r="O16" i="343"/>
  <c r="O7" i="343"/>
  <c r="AD35" i="343"/>
  <c r="AD36" i="343"/>
  <c r="AE36" i="343" s="1"/>
  <c r="Z18" i="343"/>
  <c r="Z24" i="343" s="1"/>
  <c r="AA4" i="343"/>
  <c r="AA3" i="343"/>
  <c r="Z13" i="343"/>
  <c r="Z58" i="343"/>
  <c r="AB5" i="343"/>
  <c r="O82" i="343"/>
  <c r="N105" i="343"/>
  <c r="O25" i="343"/>
  <c r="O22" i="343"/>
  <c r="O13" i="343"/>
  <c r="O11" i="343"/>
  <c r="O9" i="343"/>
  <c r="O28" i="343"/>
  <c r="O20" i="343"/>
  <c r="O19" i="343"/>
  <c r="O5" i="343"/>
  <c r="O6" i="343"/>
  <c r="O17" i="343"/>
  <c r="O4" i="343"/>
  <c r="AD34" i="342"/>
  <c r="AD36" i="342" s="1"/>
  <c r="AE36" i="342" s="1"/>
  <c r="AC43" i="342"/>
  <c r="V99" i="342"/>
  <c r="V48" i="342"/>
  <c r="V57" i="342"/>
  <c r="V59" i="342"/>
  <c r="V82" i="342"/>
  <c r="V86" i="342"/>
  <c r="V90" i="342"/>
  <c r="V69" i="342"/>
  <c r="V80" i="342"/>
  <c r="V97" i="342"/>
  <c r="V46" i="342"/>
  <c r="V81" i="342"/>
  <c r="AC45" i="342"/>
  <c r="V79" i="342"/>
  <c r="V88" i="342"/>
  <c r="AC61" i="342"/>
  <c r="AA69" i="342" s="1"/>
  <c r="Z16" i="342"/>
  <c r="AA16" i="342" s="1"/>
  <c r="V47" i="342"/>
  <c r="V49" i="342"/>
  <c r="V66" i="342"/>
  <c r="V84" i="342"/>
  <c r="X84" i="342" s="1"/>
  <c r="V85" i="342"/>
  <c r="V87" i="342"/>
  <c r="V95" i="342"/>
  <c r="V103" i="342"/>
  <c r="AI58" i="342"/>
  <c r="AJ58" i="342" s="1"/>
  <c r="V58" i="342"/>
  <c r="V64" i="342"/>
  <c r="V76" i="342"/>
  <c r="V101" i="342"/>
  <c r="AD35" i="342"/>
  <c r="AE35" i="342" s="1"/>
  <c r="V39" i="342"/>
  <c r="V61" i="342"/>
  <c r="V67" i="342"/>
  <c r="V73" i="342"/>
  <c r="V91" i="342"/>
  <c r="N94" i="342"/>
  <c r="O95" i="342" s="1"/>
  <c r="V23" i="342"/>
  <c r="V32" i="342"/>
  <c r="V43" i="342"/>
  <c r="V44" i="342"/>
  <c r="V71" i="342"/>
  <c r="V77" i="342"/>
  <c r="V83" i="342"/>
  <c r="V94" i="342"/>
  <c r="AA15" i="342"/>
  <c r="V21" i="342"/>
  <c r="AB102" i="342"/>
  <c r="V30" i="342"/>
  <c r="AC35" i="342"/>
  <c r="AC37" i="342" s="1"/>
  <c r="V36" i="342"/>
  <c r="V40" i="342"/>
  <c r="V42" i="342"/>
  <c r="V45" i="342"/>
  <c r="V56" i="342"/>
  <c r="V63" i="342"/>
  <c r="V92" i="342"/>
  <c r="V98" i="342"/>
  <c r="V53" i="342"/>
  <c r="V54" i="342"/>
  <c r="S51" i="342"/>
  <c r="V51" i="342" s="1"/>
  <c r="V50" i="342"/>
  <c r="V19" i="342"/>
  <c r="V14" i="342"/>
  <c r="V24" i="342"/>
  <c r="V25" i="342"/>
  <c r="V29" i="342"/>
  <c r="V10" i="342"/>
  <c r="V18" i="342"/>
  <c r="V4" i="342"/>
  <c r="V5" i="342"/>
  <c r="V6" i="342"/>
  <c r="V13" i="342"/>
  <c r="V20" i="342"/>
  <c r="V12" i="342"/>
  <c r="V15" i="342"/>
  <c r="V3" i="342"/>
  <c r="V8" i="342"/>
  <c r="V27" i="342"/>
  <c r="S9" i="342"/>
  <c r="V9" i="342" s="1"/>
  <c r="S17" i="342"/>
  <c r="V17" i="342" s="1"/>
  <c r="AK79" i="342"/>
  <c r="Z14" i="342"/>
  <c r="AA10" i="342"/>
  <c r="K7" i="342"/>
  <c r="AB98" i="342"/>
  <c r="V16" i="342"/>
  <c r="AA60" i="342"/>
  <c r="AA62" i="342" s="1"/>
  <c r="AA36" i="342"/>
  <c r="AB36" i="342" s="1"/>
  <c r="AD7" i="342"/>
  <c r="AE3" i="342"/>
  <c r="I105" i="342"/>
  <c r="AA92" i="342"/>
  <c r="T7" i="342"/>
  <c r="V7" i="342" s="1"/>
  <c r="R54" i="342"/>
  <c r="V22" i="342"/>
  <c r="V31" i="342"/>
  <c r="AB95" i="342"/>
  <c r="Q105" i="342"/>
  <c r="S2" i="342"/>
  <c r="AB93" i="342"/>
  <c r="V26" i="342"/>
  <c r="N27" i="342"/>
  <c r="O34" i="342" s="1"/>
  <c r="V34" i="342"/>
  <c r="AD37" i="342"/>
  <c r="V41" i="342"/>
  <c r="U105" i="342"/>
  <c r="AD4" i="342" s="1"/>
  <c r="AD5" i="342" s="1"/>
  <c r="AA34" i="342" s="1"/>
  <c r="AB34" i="342" s="1"/>
  <c r="H105" i="342"/>
  <c r="AA42" i="342"/>
  <c r="AC42" i="342" s="1"/>
  <c r="AA97" i="342"/>
  <c r="V11" i="342"/>
  <c r="V28" i="342"/>
  <c r="V33" i="342"/>
  <c r="V35" i="342"/>
  <c r="Z37" i="342"/>
  <c r="N56" i="342"/>
  <c r="O69" i="342" s="1"/>
  <c r="AE34" i="342"/>
  <c r="V37" i="342"/>
  <c r="R50" i="342"/>
  <c r="N50" i="342"/>
  <c r="AC78" i="342"/>
  <c r="V70" i="342"/>
  <c r="V72" i="342"/>
  <c r="V78" i="342"/>
  <c r="N81" i="342"/>
  <c r="O83" i="342" s="1"/>
  <c r="V38" i="342"/>
  <c r="AC44" i="342"/>
  <c r="R52" i="342"/>
  <c r="AB62" i="342"/>
  <c r="V60" i="342"/>
  <c r="AB61" i="342"/>
  <c r="V74" i="342"/>
  <c r="V52" i="342"/>
  <c r="V55" i="342"/>
  <c r="V62" i="342"/>
  <c r="V65" i="342"/>
  <c r="V89" i="342"/>
  <c r="V96" i="342"/>
  <c r="V100" i="342"/>
  <c r="V102" i="342"/>
  <c r="V68" i="342"/>
  <c r="V75" i="342"/>
  <c r="N85" i="342"/>
  <c r="O86" i="342" s="1"/>
  <c r="V93" i="342"/>
  <c r="W57" i="347" l="1"/>
  <c r="W58" i="347" s="1"/>
  <c r="W59" i="347" s="1"/>
  <c r="W60" i="347" s="1"/>
  <c r="W61" i="347" s="1"/>
  <c r="W62" i="347" s="1"/>
  <c r="W63" i="347" s="1"/>
  <c r="W64" i="347" s="1"/>
  <c r="W65" i="347" s="1"/>
  <c r="W66" i="347" s="1"/>
  <c r="W67" i="347" s="1"/>
  <c r="W68" i="347" s="1"/>
  <c r="W69" i="347" s="1"/>
  <c r="W70" i="347" s="1"/>
  <c r="W71" i="347" s="1"/>
  <c r="W72" i="347" s="1"/>
  <c r="W73" i="347" s="1"/>
  <c r="W74" i="347" s="1"/>
  <c r="W75" i="347" s="1"/>
  <c r="W76" i="347" s="1"/>
  <c r="W77" i="347" s="1"/>
  <c r="W78" i="347" s="1"/>
  <c r="W79" i="347" s="1"/>
  <c r="W80" i="347" s="1"/>
  <c r="W81" i="347" s="1"/>
  <c r="W82" i="347" s="1"/>
  <c r="W83" i="347" s="1"/>
  <c r="W84" i="347" s="1"/>
  <c r="W85" i="347" s="1"/>
  <c r="W86" i="347" s="1"/>
  <c r="W87" i="347" s="1"/>
  <c r="W88" i="347" s="1"/>
  <c r="W89" i="347" s="1"/>
  <c r="W90" i="347" s="1"/>
  <c r="W91" i="347" s="1"/>
  <c r="W92" i="347" s="1"/>
  <c r="W93" i="347" s="1"/>
  <c r="W94" i="347" s="1"/>
  <c r="W95" i="347" s="1"/>
  <c r="W96" i="347" s="1"/>
  <c r="W97" i="347" s="1"/>
  <c r="W98" i="347" s="1"/>
  <c r="W99" i="347" s="1"/>
  <c r="W100" i="347" s="1"/>
  <c r="W101" i="347" s="1"/>
  <c r="W102" i="347" s="1"/>
  <c r="W103" i="347" s="1"/>
  <c r="W105" i="347" s="1"/>
  <c r="X56" i="347"/>
  <c r="X2" i="346"/>
  <c r="AG5" i="346"/>
  <c r="AF5" i="346"/>
  <c r="Z5" i="346"/>
  <c r="AD78" i="346"/>
  <c r="AB81" i="346"/>
  <c r="X3" i="346"/>
  <c r="W4" i="346"/>
  <c r="AF79" i="346"/>
  <c r="AD61" i="346"/>
  <c r="AD62" i="346"/>
  <c r="AE78" i="346"/>
  <c r="AB81" i="345"/>
  <c r="X4" i="345"/>
  <c r="W5" i="345"/>
  <c r="AE79" i="345"/>
  <c r="AF79" i="345" s="1"/>
  <c r="AK75" i="345"/>
  <c r="AD81" i="345"/>
  <c r="AF78" i="345"/>
  <c r="AB78" i="344"/>
  <c r="AB81" i="344" s="1"/>
  <c r="AD58" i="344"/>
  <c r="AD61" i="344" s="1"/>
  <c r="Z61" i="344"/>
  <c r="AB17" i="344" s="1"/>
  <c r="Z5" i="344"/>
  <c r="W4" i="344"/>
  <c r="X3" i="344"/>
  <c r="AG5" i="344"/>
  <c r="AE80" i="344"/>
  <c r="AF80" i="344" s="1"/>
  <c r="AF60" i="344"/>
  <c r="X2" i="344"/>
  <c r="AE79" i="344"/>
  <c r="AF79" i="344" s="1"/>
  <c r="AF59" i="344"/>
  <c r="AF5" i="344"/>
  <c r="AE4" i="343"/>
  <c r="W2" i="343"/>
  <c r="W3" i="343" s="1"/>
  <c r="AD60" i="343"/>
  <c r="Z53" i="343"/>
  <c r="AB80" i="343"/>
  <c r="AD80" i="343" s="1"/>
  <c r="AK77" i="343" s="1"/>
  <c r="AL77" i="343" s="1"/>
  <c r="Z3" i="343"/>
  <c r="Z4" i="343"/>
  <c r="AG3" i="343"/>
  <c r="AA5" i="343"/>
  <c r="AF3" i="343"/>
  <c r="AC5" i="343"/>
  <c r="AE5" i="343" s="1"/>
  <c r="Z59" i="343"/>
  <c r="Z62" i="343" s="1"/>
  <c r="AB78" i="343"/>
  <c r="AD58" i="343"/>
  <c r="L2" i="343"/>
  <c r="L3" i="343" s="1"/>
  <c r="L4" i="343" s="1"/>
  <c r="L5" i="343" s="1"/>
  <c r="L6" i="343" s="1"/>
  <c r="L7" i="343" s="1"/>
  <c r="L8" i="343" s="1"/>
  <c r="L9" i="343" s="1"/>
  <c r="L10" i="343" s="1"/>
  <c r="L11" i="343" s="1"/>
  <c r="L12" i="343" s="1"/>
  <c r="L13" i="343" s="1"/>
  <c r="L14" i="343" s="1"/>
  <c r="L15" i="343" s="1"/>
  <c r="L16" i="343" s="1"/>
  <c r="L17" i="343" s="1"/>
  <c r="L18" i="343" s="1"/>
  <c r="L19" i="343" s="1"/>
  <c r="L20" i="343" s="1"/>
  <c r="L21" i="343" s="1"/>
  <c r="L22" i="343" s="1"/>
  <c r="L23" i="343" s="1"/>
  <c r="L24" i="343" s="1"/>
  <c r="L25" i="343" s="1"/>
  <c r="L26" i="343" s="1"/>
  <c r="L27" i="343" s="1"/>
  <c r="L28" i="343" s="1"/>
  <c r="L29" i="343" s="1"/>
  <c r="L30" i="343" s="1"/>
  <c r="L31" i="343" s="1"/>
  <c r="L32" i="343" s="1"/>
  <c r="L33" i="343" s="1"/>
  <c r="L34" i="343" s="1"/>
  <c r="L35" i="343" s="1"/>
  <c r="L36" i="343" s="1"/>
  <c r="L37" i="343" s="1"/>
  <c r="L38" i="343" s="1"/>
  <c r="L39" i="343" s="1"/>
  <c r="L40" i="343" s="1"/>
  <c r="L41" i="343" s="1"/>
  <c r="L42" i="343" s="1"/>
  <c r="L43" i="343" s="1"/>
  <c r="L44" i="343" s="1"/>
  <c r="L45" i="343" s="1"/>
  <c r="L46" i="343" s="1"/>
  <c r="L47" i="343" s="1"/>
  <c r="L48" i="343" s="1"/>
  <c r="L49" i="343" s="1"/>
  <c r="L50" i="343" s="1"/>
  <c r="L51" i="343" s="1"/>
  <c r="L52" i="343" s="1"/>
  <c r="L53" i="343" s="1"/>
  <c r="L54" i="343" s="1"/>
  <c r="L55" i="343" s="1"/>
  <c r="L56" i="343" s="1"/>
  <c r="L57" i="343" s="1"/>
  <c r="L58" i="343" s="1"/>
  <c r="L59" i="343" s="1"/>
  <c r="L60" i="343" s="1"/>
  <c r="L61" i="343" s="1"/>
  <c r="L62" i="343" s="1"/>
  <c r="L63" i="343" s="1"/>
  <c r="L64" i="343" s="1"/>
  <c r="L65" i="343" s="1"/>
  <c r="L66" i="343" s="1"/>
  <c r="L67" i="343" s="1"/>
  <c r="L68" i="343" s="1"/>
  <c r="L69" i="343" s="1"/>
  <c r="L70" i="343" s="1"/>
  <c r="L71" i="343" s="1"/>
  <c r="L72" i="343" s="1"/>
  <c r="L73" i="343" s="1"/>
  <c r="L74" i="343" s="1"/>
  <c r="L75" i="343" s="1"/>
  <c r="L76" i="343" s="1"/>
  <c r="L77" i="343" s="1"/>
  <c r="L78" i="343" s="1"/>
  <c r="L79" i="343" s="1"/>
  <c r="L80" i="343" s="1"/>
  <c r="L81" i="343" s="1"/>
  <c r="L82" i="343" s="1"/>
  <c r="L83" i="343" s="1"/>
  <c r="L84" i="343" s="1"/>
  <c r="L85" i="343" s="1"/>
  <c r="L86" i="343" s="1"/>
  <c r="L87" i="343" s="1"/>
  <c r="L88" i="343" s="1"/>
  <c r="L89" i="343" s="1"/>
  <c r="L90" i="343" s="1"/>
  <c r="L91" i="343" s="1"/>
  <c r="L92" i="343" s="1"/>
  <c r="L93" i="343" s="1"/>
  <c r="L94" i="343" s="1"/>
  <c r="L95" i="343" s="1"/>
  <c r="L96" i="343" s="1"/>
  <c r="L97" i="343" s="1"/>
  <c r="L98" i="343" s="1"/>
  <c r="L99" i="343" s="1"/>
  <c r="L100" i="343" s="1"/>
  <c r="L101" i="343" s="1"/>
  <c r="L102" i="343" s="1"/>
  <c r="L103" i="343" s="1"/>
  <c r="L105" i="343" s="1"/>
  <c r="AF4" i="343"/>
  <c r="AG4" i="343"/>
  <c r="AD37" i="343"/>
  <c r="AE35" i="343"/>
  <c r="AE37" i="343" s="1"/>
  <c r="AA37" i="343"/>
  <c r="AB37" i="343" s="1"/>
  <c r="AB35" i="343"/>
  <c r="AE37" i="342"/>
  <c r="AA68" i="342"/>
  <c r="O35" i="342"/>
  <c r="O30" i="342"/>
  <c r="O97" i="342"/>
  <c r="O98" i="342"/>
  <c r="O101" i="342"/>
  <c r="O60" i="342"/>
  <c r="O99" i="342"/>
  <c r="O103" i="342"/>
  <c r="O66" i="342"/>
  <c r="O73" i="342"/>
  <c r="O87" i="342"/>
  <c r="O91" i="342"/>
  <c r="O59" i="342"/>
  <c r="O92" i="342"/>
  <c r="O102" i="342"/>
  <c r="O100" i="342"/>
  <c r="O96" i="342"/>
  <c r="O94" i="342"/>
  <c r="O70" i="342"/>
  <c r="O45" i="342"/>
  <c r="R105" i="342"/>
  <c r="AB100" i="342"/>
  <c r="AA61" i="342"/>
  <c r="AA35" i="342"/>
  <c r="Z60" i="342"/>
  <c r="O56" i="342"/>
  <c r="O50" i="342"/>
  <c r="O55" i="342"/>
  <c r="O38" i="342"/>
  <c r="O37" i="342"/>
  <c r="O33" i="342"/>
  <c r="O43" i="342"/>
  <c r="O31" i="342"/>
  <c r="O44" i="342"/>
  <c r="O41" i="342"/>
  <c r="O84" i="342"/>
  <c r="O47" i="342"/>
  <c r="O78" i="342"/>
  <c r="O71" i="342"/>
  <c r="O49" i="342"/>
  <c r="O32" i="342"/>
  <c r="N2" i="342"/>
  <c r="O7" i="342" s="1"/>
  <c r="O39" i="342"/>
  <c r="AB92" i="342"/>
  <c r="Z18" i="342"/>
  <c r="Z24" i="342" s="1"/>
  <c r="AA3" i="342"/>
  <c r="Z13" i="342"/>
  <c r="AA4" i="342"/>
  <c r="AB47" i="342"/>
  <c r="AC80" i="342"/>
  <c r="AC81" i="342" s="1"/>
  <c r="O90" i="342"/>
  <c r="O88" i="342"/>
  <c r="O85" i="342"/>
  <c r="O93" i="342"/>
  <c r="O89" i="342"/>
  <c r="O53" i="342"/>
  <c r="O82" i="342"/>
  <c r="O81" i="342"/>
  <c r="O80" i="342"/>
  <c r="O76" i="342"/>
  <c r="O67" i="342"/>
  <c r="O63" i="342"/>
  <c r="O75" i="342"/>
  <c r="O57" i="342"/>
  <c r="O79" i="342"/>
  <c r="O64" i="342"/>
  <c r="O62" i="342"/>
  <c r="O77" i="342"/>
  <c r="O65" i="342"/>
  <c r="O61" i="342"/>
  <c r="O74" i="342"/>
  <c r="O68" i="342"/>
  <c r="O72" i="342"/>
  <c r="O58" i="342"/>
  <c r="O42" i="342"/>
  <c r="AB97" i="342"/>
  <c r="S105" i="342"/>
  <c r="AC4" i="342" s="1"/>
  <c r="V2" i="342"/>
  <c r="V105" i="342" s="1"/>
  <c r="O46" i="342"/>
  <c r="O54" i="342"/>
  <c r="K105" i="342"/>
  <c r="K108" i="342" s="1"/>
  <c r="K110" i="342" s="1"/>
  <c r="O36" i="342"/>
  <c r="T105" i="342"/>
  <c r="AB4" i="342" s="1"/>
  <c r="AF78" i="346" l="1"/>
  <c r="AF81" i="346" s="1"/>
  <c r="AE81" i="346"/>
  <c r="X4" i="346"/>
  <c r="W5" i="346"/>
  <c r="AD81" i="346"/>
  <c r="AK75" i="346"/>
  <c r="AF81" i="345"/>
  <c r="AE81" i="345"/>
  <c r="W6" i="345"/>
  <c r="X5" i="345"/>
  <c r="AL75" i="345"/>
  <c r="AL78" i="345" s="1"/>
  <c r="AK78" i="345"/>
  <c r="AL79" i="345" s="1"/>
  <c r="AE78" i="344"/>
  <c r="AE81" i="344" s="1"/>
  <c r="AF58" i="344"/>
  <c r="AD62" i="344"/>
  <c r="AD78" i="344"/>
  <c r="AD81" i="344" s="1"/>
  <c r="W5" i="344"/>
  <c r="X4" i="344"/>
  <c r="Z5" i="343"/>
  <c r="Z61" i="343"/>
  <c r="AB17" i="343" s="1"/>
  <c r="AD78" i="343"/>
  <c r="AE78" i="343"/>
  <c r="AF58" i="343"/>
  <c r="AF5" i="343"/>
  <c r="AE80" i="343"/>
  <c r="AF80" i="343" s="1"/>
  <c r="AF60" i="343"/>
  <c r="X2" i="343"/>
  <c r="AD59" i="343"/>
  <c r="AD62" i="343" s="1"/>
  <c r="AB79" i="343"/>
  <c r="AD79" i="343" s="1"/>
  <c r="AK76" i="343" s="1"/>
  <c r="AL76" i="343" s="1"/>
  <c r="AG5" i="343"/>
  <c r="W4" i="343"/>
  <c r="X3" i="343"/>
  <c r="W2" i="342"/>
  <c r="W3" i="342" s="1"/>
  <c r="Z58" i="342"/>
  <c r="AB5" i="342"/>
  <c r="AE4" i="342"/>
  <c r="AF4" i="342" s="1"/>
  <c r="L2" i="342"/>
  <c r="L3" i="342" s="1"/>
  <c r="L4" i="342" s="1"/>
  <c r="L5" i="342" s="1"/>
  <c r="L6" i="342" s="1"/>
  <c r="L7" i="342" s="1"/>
  <c r="L8" i="342" s="1"/>
  <c r="L9" i="342" s="1"/>
  <c r="L10" i="342" s="1"/>
  <c r="L11" i="342" s="1"/>
  <c r="L12" i="342" s="1"/>
  <c r="L13" i="342" s="1"/>
  <c r="L14" i="342" s="1"/>
  <c r="L15" i="342" s="1"/>
  <c r="L16" i="342" s="1"/>
  <c r="L17" i="342" s="1"/>
  <c r="L18" i="342" s="1"/>
  <c r="L19" i="342" s="1"/>
  <c r="L20" i="342" s="1"/>
  <c r="L21" i="342" s="1"/>
  <c r="L22" i="342" s="1"/>
  <c r="L23" i="342" s="1"/>
  <c r="L24" i="342" s="1"/>
  <c r="L25" i="342" s="1"/>
  <c r="L26" i="342" s="1"/>
  <c r="L27" i="342" s="1"/>
  <c r="L28" i="342" s="1"/>
  <c r="L29" i="342" s="1"/>
  <c r="L30" i="342" s="1"/>
  <c r="L31" i="342" s="1"/>
  <c r="L32" i="342" s="1"/>
  <c r="L33" i="342" s="1"/>
  <c r="L34" i="342" s="1"/>
  <c r="L35" i="342" s="1"/>
  <c r="L36" i="342" s="1"/>
  <c r="L37" i="342" s="1"/>
  <c r="L38" i="342" s="1"/>
  <c r="L39" i="342" s="1"/>
  <c r="L40" i="342" s="1"/>
  <c r="L41" i="342" s="1"/>
  <c r="L42" i="342" s="1"/>
  <c r="L43" i="342" s="1"/>
  <c r="L44" i="342" s="1"/>
  <c r="L45" i="342" s="1"/>
  <c r="L46" i="342" s="1"/>
  <c r="L47" i="342" s="1"/>
  <c r="L48" i="342" s="1"/>
  <c r="L49" i="342" s="1"/>
  <c r="L50" i="342" s="1"/>
  <c r="L51" i="342" s="1"/>
  <c r="L52" i="342" s="1"/>
  <c r="L53" i="342" s="1"/>
  <c r="L54" i="342" s="1"/>
  <c r="L55" i="342" s="1"/>
  <c r="L56" i="342" s="1"/>
  <c r="L57" i="342" s="1"/>
  <c r="L58" i="342" s="1"/>
  <c r="L59" i="342" s="1"/>
  <c r="L60" i="342" s="1"/>
  <c r="L61" i="342" s="1"/>
  <c r="L62" i="342" s="1"/>
  <c r="L63" i="342" s="1"/>
  <c r="L64" i="342" s="1"/>
  <c r="L65" i="342" s="1"/>
  <c r="L66" i="342" s="1"/>
  <c r="L67" i="342" s="1"/>
  <c r="L68" i="342" s="1"/>
  <c r="L69" i="342" s="1"/>
  <c r="L70" i="342" s="1"/>
  <c r="L71" i="342" s="1"/>
  <c r="L72" i="342" s="1"/>
  <c r="L73" i="342" s="1"/>
  <c r="L74" i="342" s="1"/>
  <c r="L75" i="342" s="1"/>
  <c r="L76" i="342" s="1"/>
  <c r="L77" i="342" s="1"/>
  <c r="L78" i="342" s="1"/>
  <c r="L79" i="342" s="1"/>
  <c r="L80" i="342" s="1"/>
  <c r="L81" i="342" s="1"/>
  <c r="L82" i="342" s="1"/>
  <c r="L83" i="342" s="1"/>
  <c r="L84" i="342" s="1"/>
  <c r="L85" i="342" s="1"/>
  <c r="L86" i="342" s="1"/>
  <c r="L87" i="342" s="1"/>
  <c r="L88" i="342" s="1"/>
  <c r="L89" i="342" s="1"/>
  <c r="L90" i="342" s="1"/>
  <c r="L91" i="342" s="1"/>
  <c r="L92" i="342" s="1"/>
  <c r="L93" i="342" s="1"/>
  <c r="L94" i="342" s="1"/>
  <c r="L95" i="342" s="1"/>
  <c r="L96" i="342" s="1"/>
  <c r="L97" i="342" s="1"/>
  <c r="L98" i="342" s="1"/>
  <c r="L99" i="342" s="1"/>
  <c r="L100" i="342" s="1"/>
  <c r="L101" i="342" s="1"/>
  <c r="L102" i="342" s="1"/>
  <c r="L103" i="342" s="1"/>
  <c r="L105" i="342" s="1"/>
  <c r="AG4" i="342"/>
  <c r="AD60" i="342"/>
  <c r="Z53" i="342"/>
  <c r="AB80" i="342"/>
  <c r="AD80" i="342" s="1"/>
  <c r="AK77" i="342" s="1"/>
  <c r="AL77" i="342" s="1"/>
  <c r="Z4" i="342"/>
  <c r="Z3" i="342"/>
  <c r="AA37" i="342"/>
  <c r="AB37" i="342" s="1"/>
  <c r="AB35" i="342"/>
  <c r="Z59" i="342"/>
  <c r="AC5" i="342"/>
  <c r="AF3" i="342"/>
  <c r="AA5" i="342"/>
  <c r="AG3" i="342"/>
  <c r="N105" i="342"/>
  <c r="O29" i="342"/>
  <c r="O20" i="342"/>
  <c r="O26" i="342"/>
  <c r="O14" i="342"/>
  <c r="O12" i="342"/>
  <c r="O10" i="342"/>
  <c r="O9" i="342"/>
  <c r="O27" i="342"/>
  <c r="O22" i="342"/>
  <c r="O13" i="342"/>
  <c r="O5" i="342"/>
  <c r="O2" i="342"/>
  <c r="O25" i="342"/>
  <c r="O16" i="342"/>
  <c r="O15" i="342"/>
  <c r="O11" i="342"/>
  <c r="O6" i="342"/>
  <c r="O19" i="342"/>
  <c r="O24" i="342"/>
  <c r="O3" i="342"/>
  <c r="O8" i="342"/>
  <c r="O28" i="342"/>
  <c r="O17" i="342"/>
  <c r="O4" i="342"/>
  <c r="W6" i="346" l="1"/>
  <c r="X5" i="346"/>
  <c r="AK78" i="346"/>
  <c r="AL79" i="346" s="1"/>
  <c r="AL75" i="346"/>
  <c r="AL78" i="346" s="1"/>
  <c r="W7" i="345"/>
  <c r="X6" i="345"/>
  <c r="AK75" i="344"/>
  <c r="AL75" i="344" s="1"/>
  <c r="AL78" i="344" s="1"/>
  <c r="AF78" i="344"/>
  <c r="AF81" i="344" s="1"/>
  <c r="W6" i="344"/>
  <c r="X5" i="344"/>
  <c r="AD61" i="343"/>
  <c r="AE79" i="343"/>
  <c r="AF79" i="343" s="1"/>
  <c r="AF59" i="343"/>
  <c r="AF78" i="343"/>
  <c r="W5" i="343"/>
  <c r="X4" i="343"/>
  <c r="AK75" i="343"/>
  <c r="AD81" i="343"/>
  <c r="AB81" i="343"/>
  <c r="Z5" i="342"/>
  <c r="X2" i="342"/>
  <c r="AE80" i="342"/>
  <c r="AF80" i="342" s="1"/>
  <c r="AF60" i="342"/>
  <c r="AG5" i="342"/>
  <c r="AB79" i="342"/>
  <c r="AD79" i="342" s="1"/>
  <c r="AK76" i="342" s="1"/>
  <c r="AL76" i="342" s="1"/>
  <c r="AD59" i="342"/>
  <c r="AE5" i="342"/>
  <c r="X3" i="342"/>
  <c r="W4" i="342"/>
  <c r="AF5" i="342"/>
  <c r="Z61" i="342"/>
  <c r="AB17" i="342" s="1"/>
  <c r="Z62" i="342"/>
  <c r="AB78" i="342"/>
  <c r="AD58" i="342"/>
  <c r="X6" i="346" l="1"/>
  <c r="W7" i="346"/>
  <c r="W8" i="345"/>
  <c r="X7" i="345"/>
  <c r="AK78" i="344"/>
  <c r="AL79" i="344" s="1"/>
  <c r="W7" i="344"/>
  <c r="X6" i="344"/>
  <c r="X5" i="343"/>
  <c r="W6" i="343"/>
  <c r="AE81" i="343"/>
  <c r="AL75" i="343"/>
  <c r="AL78" i="343" s="1"/>
  <c r="AK78" i="343"/>
  <c r="AL79" i="343" s="1"/>
  <c r="AF81" i="343"/>
  <c r="AD61" i="342"/>
  <c r="AE78" i="342"/>
  <c r="AF58" i="342"/>
  <c r="AD62" i="342"/>
  <c r="AF59" i="342"/>
  <c r="AE79" i="342"/>
  <c r="AF79" i="342" s="1"/>
  <c r="AB81" i="342"/>
  <c r="AD78" i="342"/>
  <c r="W5" i="342"/>
  <c r="X4" i="342"/>
  <c r="X7" i="346" l="1"/>
  <c r="W8" i="346"/>
  <c r="X8" i="345"/>
  <c r="W9" i="345"/>
  <c r="X7" i="344"/>
  <c r="W8" i="344"/>
  <c r="X6" i="343"/>
  <c r="W7" i="343"/>
  <c r="AF78" i="342"/>
  <c r="AF81" i="342" s="1"/>
  <c r="AE81" i="342"/>
  <c r="W6" i="342"/>
  <c r="X5" i="342"/>
  <c r="AK75" i="342"/>
  <c r="AD81" i="342"/>
  <c r="AE59" i="341"/>
  <c r="AK57" i="340"/>
  <c r="AK59" i="340"/>
  <c r="AK58" i="340"/>
  <c r="AJ59" i="340"/>
  <c r="AJ58" i="340"/>
  <c r="AI60" i="340"/>
  <c r="AE60" i="340"/>
  <c r="X8" i="346" l="1"/>
  <c r="W9" i="346"/>
  <c r="X9" i="345"/>
  <c r="W10" i="345"/>
  <c r="X8" i="344"/>
  <c r="W9" i="344"/>
  <c r="W8" i="343"/>
  <c r="X7" i="343"/>
  <c r="AL75" i="342"/>
  <c r="AL78" i="342" s="1"/>
  <c r="AK78" i="342"/>
  <c r="AL79" i="342" s="1"/>
  <c r="W7" i="342"/>
  <c r="X6" i="342"/>
  <c r="X9" i="346" l="1"/>
  <c r="W10" i="346"/>
  <c r="X10" i="345"/>
  <c r="W11" i="345"/>
  <c r="X9" i="344"/>
  <c r="W10" i="344"/>
  <c r="W9" i="343"/>
  <c r="X8" i="343"/>
  <c r="X7" i="342"/>
  <c r="W8" i="342"/>
  <c r="W11" i="346" l="1"/>
  <c r="X10" i="346"/>
  <c r="X11" i="345"/>
  <c r="W12" i="345"/>
  <c r="X10" i="344"/>
  <c r="W11" i="344"/>
  <c r="W10" i="343"/>
  <c r="X9" i="343"/>
  <c r="X8" i="342"/>
  <c r="W9" i="342"/>
  <c r="X11" i="346" l="1"/>
  <c r="W12" i="346"/>
  <c r="X12" i="345"/>
  <c r="W13" i="345"/>
  <c r="X11" i="344"/>
  <c r="W12" i="344"/>
  <c r="W11" i="343"/>
  <c r="X10" i="343"/>
  <c r="W10" i="342"/>
  <c r="X9" i="342"/>
  <c r="W13" i="346" l="1"/>
  <c r="X12" i="346"/>
  <c r="X13" i="345"/>
  <c r="W14" i="345"/>
  <c r="X12" i="344"/>
  <c r="W13" i="344"/>
  <c r="W12" i="343"/>
  <c r="X11" i="343"/>
  <c r="X10" i="342"/>
  <c r="W11" i="342"/>
  <c r="X13" i="346" l="1"/>
  <c r="W14" i="346"/>
  <c r="W15" i="345"/>
  <c r="X14" i="345"/>
  <c r="X13" i="344"/>
  <c r="W14" i="344"/>
  <c r="W13" i="343"/>
  <c r="X12" i="343"/>
  <c r="W12" i="342"/>
  <c r="X11" i="342"/>
  <c r="W15" i="346" l="1"/>
  <c r="X14" i="346"/>
  <c r="W16" i="345"/>
  <c r="X15" i="345"/>
  <c r="W15" i="344"/>
  <c r="X14" i="344"/>
  <c r="W14" i="343"/>
  <c r="X13" i="343"/>
  <c r="W13" i="342"/>
  <c r="X12" i="342"/>
  <c r="W16" i="346" l="1"/>
  <c r="X15" i="346"/>
  <c r="X16" i="345"/>
  <c r="W17" i="345"/>
  <c r="W16" i="344"/>
  <c r="X15" i="344"/>
  <c r="X14" i="343"/>
  <c r="W15" i="343"/>
  <c r="W14" i="342"/>
  <c r="X13" i="342"/>
  <c r="W17" i="346" l="1"/>
  <c r="X16" i="346"/>
  <c r="X17" i="345"/>
  <c r="W18" i="345"/>
  <c r="W19" i="345" s="1"/>
  <c r="W17" i="344"/>
  <c r="X16" i="344"/>
  <c r="W16" i="343"/>
  <c r="X15" i="343"/>
  <c r="X14" i="342"/>
  <c r="W15" i="342"/>
  <c r="W18" i="346" l="1"/>
  <c r="W19" i="346" s="1"/>
  <c r="X17" i="346"/>
  <c r="X19" i="345"/>
  <c r="W20" i="345"/>
  <c r="W21" i="345" s="1"/>
  <c r="W22" i="345" s="1"/>
  <c r="W18" i="344"/>
  <c r="W19" i="344" s="1"/>
  <c r="X17" i="344"/>
  <c r="W17" i="343"/>
  <c r="X16" i="343"/>
  <c r="X15" i="342"/>
  <c r="W16" i="342"/>
  <c r="W20" i="346" l="1"/>
  <c r="W21" i="346" s="1"/>
  <c r="W22" i="346" s="1"/>
  <c r="X19" i="346"/>
  <c r="W23" i="345"/>
  <c r="W24" i="345" s="1"/>
  <c r="X22" i="345"/>
  <c r="W20" i="344"/>
  <c r="W21" i="344" s="1"/>
  <c r="W22" i="344" s="1"/>
  <c r="X19" i="344"/>
  <c r="W18" i="343"/>
  <c r="W19" i="343" s="1"/>
  <c r="X17" i="343"/>
  <c r="W17" i="342"/>
  <c r="X16" i="342"/>
  <c r="W23" i="346" l="1"/>
  <c r="W24" i="346" s="1"/>
  <c r="X22" i="346"/>
  <c r="W25" i="345"/>
  <c r="X24" i="345"/>
  <c r="W23" i="344"/>
  <c r="W24" i="344" s="1"/>
  <c r="X22" i="344"/>
  <c r="W20" i="343"/>
  <c r="W21" i="343" s="1"/>
  <c r="W22" i="343" s="1"/>
  <c r="X19" i="343"/>
  <c r="W18" i="342"/>
  <c r="W19" i="342" s="1"/>
  <c r="X17" i="342"/>
  <c r="W25" i="346" l="1"/>
  <c r="X24" i="346"/>
  <c r="X25" i="345"/>
  <c r="W26" i="345"/>
  <c r="W25" i="344"/>
  <c r="X24" i="344"/>
  <c r="W23" i="343"/>
  <c r="W24" i="343" s="1"/>
  <c r="X22" i="343"/>
  <c r="W20" i="342"/>
  <c r="W21" i="342" s="1"/>
  <c r="W22" i="342" s="1"/>
  <c r="X19" i="342"/>
  <c r="W26" i="346" l="1"/>
  <c r="X25" i="346"/>
  <c r="W27" i="345"/>
  <c r="X26" i="345"/>
  <c r="W26" i="344"/>
  <c r="X25" i="344"/>
  <c r="W25" i="343"/>
  <c r="X24" i="343"/>
  <c r="X22" i="342"/>
  <c r="W23" i="342"/>
  <c r="W24" i="342" s="1"/>
  <c r="W27" i="346" l="1"/>
  <c r="X26" i="346"/>
  <c r="W28" i="345"/>
  <c r="X27" i="345"/>
  <c r="X26" i="344"/>
  <c r="W27" i="344"/>
  <c r="W26" i="343"/>
  <c r="X25" i="343"/>
  <c r="X24" i="342"/>
  <c r="W25" i="342"/>
  <c r="X27" i="346" l="1"/>
  <c r="W28" i="346"/>
  <c r="W29" i="345"/>
  <c r="X28" i="345"/>
  <c r="W28" i="344"/>
  <c r="X27" i="344"/>
  <c r="X26" i="343"/>
  <c r="W27" i="343"/>
  <c r="W26" i="342"/>
  <c r="X25" i="342"/>
  <c r="W29" i="346" l="1"/>
  <c r="X28" i="346"/>
  <c r="W30" i="345"/>
  <c r="X29" i="345"/>
  <c r="W29" i="344"/>
  <c r="X28" i="344"/>
  <c r="W28" i="343"/>
  <c r="X27" i="343"/>
  <c r="W27" i="342"/>
  <c r="X26" i="342"/>
  <c r="X29" i="346" l="1"/>
  <c r="W30" i="346"/>
  <c r="W31" i="345"/>
  <c r="X30" i="345"/>
  <c r="W30" i="344"/>
  <c r="X29" i="344"/>
  <c r="W29" i="343"/>
  <c r="X28" i="343"/>
  <c r="X27" i="342"/>
  <c r="W28" i="342"/>
  <c r="W31" i="346" l="1"/>
  <c r="X30" i="346"/>
  <c r="X31" i="345"/>
  <c r="W32" i="345"/>
  <c r="W31" i="344"/>
  <c r="X30" i="344"/>
  <c r="W30" i="343"/>
  <c r="X29" i="343"/>
  <c r="W29" i="342"/>
  <c r="X28" i="342"/>
  <c r="W32" i="346" l="1"/>
  <c r="X31" i="346"/>
  <c r="X32" i="345"/>
  <c r="W33" i="345"/>
  <c r="X31" i="344"/>
  <c r="W32" i="344"/>
  <c r="W31" i="343"/>
  <c r="X30" i="343"/>
  <c r="X29" i="342"/>
  <c r="W30" i="342"/>
  <c r="W33" i="346" l="1"/>
  <c r="X32" i="346"/>
  <c r="W34" i="345"/>
  <c r="X33" i="345"/>
  <c r="X32" i="344"/>
  <c r="W33" i="344"/>
  <c r="X31" i="343"/>
  <c r="W32" i="343"/>
  <c r="W31" i="342"/>
  <c r="X30" i="342"/>
  <c r="W34" i="346" l="1"/>
  <c r="X33" i="346"/>
  <c r="X34" i="345"/>
  <c r="W35" i="345"/>
  <c r="X33" i="344"/>
  <c r="W34" i="344"/>
  <c r="W33" i="343"/>
  <c r="X32" i="343"/>
  <c r="X31" i="342"/>
  <c r="W32" i="342"/>
  <c r="W35" i="346" l="1"/>
  <c r="X34" i="346"/>
  <c r="W36" i="345"/>
  <c r="X35" i="345"/>
  <c r="W35" i="344"/>
  <c r="X34" i="344"/>
  <c r="X33" i="343"/>
  <c r="W34" i="343"/>
  <c r="W33" i="342"/>
  <c r="X32" i="342"/>
  <c r="W36" i="346" l="1"/>
  <c r="X35" i="346"/>
  <c r="W37" i="345"/>
  <c r="X36" i="345"/>
  <c r="W36" i="344"/>
  <c r="X35" i="344"/>
  <c r="W35" i="343"/>
  <c r="X34" i="343"/>
  <c r="W34" i="342"/>
  <c r="X33" i="342"/>
  <c r="W37" i="346" l="1"/>
  <c r="X36" i="346"/>
  <c r="W38" i="345"/>
  <c r="X37" i="345"/>
  <c r="W37" i="344"/>
  <c r="X36" i="344"/>
  <c r="W36" i="343"/>
  <c r="X35" i="343"/>
  <c r="W35" i="342"/>
  <c r="X34" i="342"/>
  <c r="X37" i="346" l="1"/>
  <c r="W38" i="346"/>
  <c r="W39" i="345"/>
  <c r="X38" i="345"/>
  <c r="W38" i="344"/>
  <c r="X37" i="344"/>
  <c r="W37" i="343"/>
  <c r="X36" i="343"/>
  <c r="W36" i="342"/>
  <c r="X35" i="342"/>
  <c r="W39" i="346" l="1"/>
  <c r="X38" i="346"/>
  <c r="W40" i="345"/>
  <c r="W41" i="345" s="1"/>
  <c r="X39" i="345"/>
  <c r="W39" i="344"/>
  <c r="X38" i="344"/>
  <c r="W38" i="343"/>
  <c r="X37" i="343"/>
  <c r="X36" i="342"/>
  <c r="W37" i="342"/>
  <c r="X39" i="346" l="1"/>
  <c r="W40" i="346"/>
  <c r="W41" i="346" s="1"/>
  <c r="X41" i="345"/>
  <c r="W42" i="345"/>
  <c r="W40" i="344"/>
  <c r="W41" i="344" s="1"/>
  <c r="X39" i="344"/>
  <c r="W39" i="343"/>
  <c r="X38" i="343"/>
  <c r="W38" i="342"/>
  <c r="X37" i="342"/>
  <c r="W42" i="346" l="1"/>
  <c r="X41" i="346"/>
  <c r="W43" i="345"/>
  <c r="X42" i="345"/>
  <c r="X41" i="344"/>
  <c r="W42" i="344"/>
  <c r="W40" i="343"/>
  <c r="W41" i="343" s="1"/>
  <c r="X39" i="343"/>
  <c r="W39" i="342"/>
  <c r="X38" i="342"/>
  <c r="W43" i="346" l="1"/>
  <c r="X42" i="346"/>
  <c r="W44" i="345"/>
  <c r="X43" i="345"/>
  <c r="W43" i="344"/>
  <c r="X42" i="344"/>
  <c r="W42" i="343"/>
  <c r="X41" i="343"/>
  <c r="X39" i="342"/>
  <c r="W40" i="342"/>
  <c r="W41" i="342" s="1"/>
  <c r="W44" i="346" l="1"/>
  <c r="X43" i="346"/>
  <c r="W45" i="345"/>
  <c r="X44" i="345"/>
  <c r="X43" i="344"/>
  <c r="W44" i="344"/>
  <c r="W43" i="343"/>
  <c r="X42" i="343"/>
  <c r="W42" i="342"/>
  <c r="X41" i="342"/>
  <c r="W45" i="346" l="1"/>
  <c r="X44" i="346"/>
  <c r="W46" i="345"/>
  <c r="X45" i="345"/>
  <c r="W45" i="344"/>
  <c r="X44" i="344"/>
  <c r="X43" i="343"/>
  <c r="W44" i="343"/>
  <c r="W43" i="342"/>
  <c r="X42" i="342"/>
  <c r="AB58" i="341"/>
  <c r="W46" i="346" l="1"/>
  <c r="X45" i="346"/>
  <c r="X46" i="345"/>
  <c r="W47" i="345"/>
  <c r="X45" i="344"/>
  <c r="W46" i="344"/>
  <c r="W45" i="343"/>
  <c r="X44" i="343"/>
  <c r="W44" i="342"/>
  <c r="X43" i="342"/>
  <c r="AD3" i="341"/>
  <c r="X46" i="346" l="1"/>
  <c r="W47" i="346"/>
  <c r="X47" i="345"/>
  <c r="W48" i="345"/>
  <c r="W49" i="345" s="1"/>
  <c r="X46" i="344"/>
  <c r="W47" i="344"/>
  <c r="X45" i="343"/>
  <c r="W46" i="343"/>
  <c r="X44" i="342"/>
  <c r="W45" i="342"/>
  <c r="R26" i="341"/>
  <c r="I7" i="341"/>
  <c r="H7" i="341"/>
  <c r="U123" i="341"/>
  <c r="I113" i="341"/>
  <c r="P105" i="341"/>
  <c r="M105" i="341"/>
  <c r="J105" i="341"/>
  <c r="I105" i="341"/>
  <c r="U103" i="341"/>
  <c r="T103" i="341"/>
  <c r="S103" i="341"/>
  <c r="Q103" i="341"/>
  <c r="K103" i="341"/>
  <c r="AA102" i="341"/>
  <c r="U102" i="341"/>
  <c r="T102" i="341"/>
  <c r="S102" i="341"/>
  <c r="Q102" i="341"/>
  <c r="K102" i="341"/>
  <c r="U101" i="341"/>
  <c r="T101" i="341"/>
  <c r="S101" i="341"/>
  <c r="Q101" i="341"/>
  <c r="K101" i="341"/>
  <c r="AA100" i="341"/>
  <c r="U100" i="341"/>
  <c r="T100" i="341"/>
  <c r="S100" i="341"/>
  <c r="Q100" i="341"/>
  <c r="K100" i="341"/>
  <c r="AA99" i="341"/>
  <c r="U99" i="341"/>
  <c r="T99" i="341"/>
  <c r="S99" i="341"/>
  <c r="Q99" i="341"/>
  <c r="K99" i="341"/>
  <c r="AA98" i="341"/>
  <c r="U98" i="341"/>
  <c r="T98" i="341"/>
  <c r="S98" i="341"/>
  <c r="Q98" i="341"/>
  <c r="K98" i="341"/>
  <c r="U97" i="341"/>
  <c r="T97" i="341"/>
  <c r="S97" i="341"/>
  <c r="Q97" i="341"/>
  <c r="K97" i="341"/>
  <c r="U96" i="341"/>
  <c r="T96" i="341"/>
  <c r="S96" i="341"/>
  <c r="Q96" i="341"/>
  <c r="K96" i="341"/>
  <c r="AA95" i="341"/>
  <c r="U95" i="341"/>
  <c r="T95" i="341"/>
  <c r="S95" i="341"/>
  <c r="Q95" i="341"/>
  <c r="K95" i="341"/>
  <c r="AA94" i="341"/>
  <c r="U94" i="341"/>
  <c r="T94" i="341"/>
  <c r="S94" i="341"/>
  <c r="Q94" i="341"/>
  <c r="K94" i="341"/>
  <c r="AA93" i="341"/>
  <c r="U93" i="341"/>
  <c r="T93" i="341"/>
  <c r="S93" i="341"/>
  <c r="Q93" i="341"/>
  <c r="K93" i="341"/>
  <c r="U92" i="341"/>
  <c r="T92" i="341"/>
  <c r="S92" i="341"/>
  <c r="Q92" i="341"/>
  <c r="K92" i="341"/>
  <c r="U91" i="341"/>
  <c r="T91" i="341"/>
  <c r="S91" i="341"/>
  <c r="Q91" i="341"/>
  <c r="K91" i="341"/>
  <c r="U90" i="341"/>
  <c r="T90" i="341"/>
  <c r="S90" i="341"/>
  <c r="Q90" i="341"/>
  <c r="K90" i="341"/>
  <c r="U89" i="341"/>
  <c r="T89" i="341"/>
  <c r="S89" i="341"/>
  <c r="Q89" i="341"/>
  <c r="K89" i="341"/>
  <c r="U88" i="341"/>
  <c r="T88" i="341"/>
  <c r="S88" i="341"/>
  <c r="Q88" i="341"/>
  <c r="K88" i="341"/>
  <c r="AE87" i="341"/>
  <c r="AF86" i="341" s="1"/>
  <c r="AG86" i="341" s="1"/>
  <c r="AH86" i="341" s="1"/>
  <c r="AH87" i="341" s="1"/>
  <c r="AH88" i="341" s="1"/>
  <c r="AA87" i="341"/>
  <c r="Y87" i="341"/>
  <c r="U87" i="341"/>
  <c r="T87" i="341"/>
  <c r="S87" i="341"/>
  <c r="Q87" i="341"/>
  <c r="K87" i="341"/>
  <c r="U86" i="341"/>
  <c r="T86" i="341"/>
  <c r="S86" i="341"/>
  <c r="Q86" i="341"/>
  <c r="K86" i="341"/>
  <c r="U85" i="341"/>
  <c r="T85" i="341"/>
  <c r="S85" i="341"/>
  <c r="Q85" i="341"/>
  <c r="K85" i="341"/>
  <c r="U84" i="341"/>
  <c r="T84" i="341"/>
  <c r="S84" i="341"/>
  <c r="Q84" i="341"/>
  <c r="K84" i="341"/>
  <c r="U83" i="341"/>
  <c r="T83" i="341"/>
  <c r="S83" i="341"/>
  <c r="Q83" i="341"/>
  <c r="K83" i="341"/>
  <c r="U82" i="341"/>
  <c r="T82" i="341"/>
  <c r="S82" i="341"/>
  <c r="Q82" i="341"/>
  <c r="K82" i="341"/>
  <c r="AA81" i="341"/>
  <c r="AA86" i="341" s="1"/>
  <c r="AB86" i="341" s="1"/>
  <c r="AC86" i="341" s="1"/>
  <c r="AD86" i="341" s="1"/>
  <c r="AD87" i="341" s="1"/>
  <c r="AD88" i="341" s="1"/>
  <c r="Z81" i="341"/>
  <c r="U81" i="341"/>
  <c r="T81" i="341"/>
  <c r="S81" i="341"/>
  <c r="Q81" i="341"/>
  <c r="K81" i="341"/>
  <c r="AI80" i="341"/>
  <c r="U80" i="341"/>
  <c r="T80" i="341"/>
  <c r="S80" i="341"/>
  <c r="Q80" i="341"/>
  <c r="K80" i="341"/>
  <c r="AI79" i="341"/>
  <c r="U79" i="341"/>
  <c r="T79" i="341"/>
  <c r="S79" i="341"/>
  <c r="Q79" i="341"/>
  <c r="K79" i="341"/>
  <c r="AI78" i="341"/>
  <c r="U78" i="341"/>
  <c r="T78" i="341"/>
  <c r="S78" i="341"/>
  <c r="Q78" i="341"/>
  <c r="K78" i="341"/>
  <c r="U77" i="341"/>
  <c r="T77" i="341"/>
  <c r="S77" i="341"/>
  <c r="Q77" i="341"/>
  <c r="K77" i="341"/>
  <c r="U76" i="341"/>
  <c r="T76" i="341"/>
  <c r="S76" i="341"/>
  <c r="Q76" i="341"/>
  <c r="K76" i="341"/>
  <c r="U75" i="341"/>
  <c r="T75" i="341"/>
  <c r="S75" i="341"/>
  <c r="Q75" i="341"/>
  <c r="K75" i="341"/>
  <c r="U74" i="341"/>
  <c r="T74" i="341"/>
  <c r="S74" i="341"/>
  <c r="Q74" i="341"/>
  <c r="K74" i="341"/>
  <c r="AD73" i="341"/>
  <c r="Z73" i="341"/>
  <c r="U73" i="341"/>
  <c r="T73" i="341"/>
  <c r="S73" i="341"/>
  <c r="Q73" i="341"/>
  <c r="K73" i="341"/>
  <c r="Z72" i="341"/>
  <c r="U72" i="341"/>
  <c r="T72" i="341"/>
  <c r="S72" i="341"/>
  <c r="Q72" i="341"/>
  <c r="K72" i="341"/>
  <c r="U71" i="341"/>
  <c r="T71" i="341"/>
  <c r="S71" i="341"/>
  <c r="Q71" i="341"/>
  <c r="K71" i="341"/>
  <c r="U70" i="341"/>
  <c r="T70" i="341"/>
  <c r="S70" i="341"/>
  <c r="Q70" i="341"/>
  <c r="K70" i="341"/>
  <c r="U69" i="341"/>
  <c r="T69" i="341"/>
  <c r="S69" i="341"/>
  <c r="Q69" i="341"/>
  <c r="K69" i="341"/>
  <c r="U68" i="341"/>
  <c r="T68" i="341"/>
  <c r="S68" i="341"/>
  <c r="Q68" i="341"/>
  <c r="K68" i="341"/>
  <c r="AA67" i="341"/>
  <c r="U67" i="341"/>
  <c r="T67" i="341"/>
  <c r="S67" i="341"/>
  <c r="Q67" i="341"/>
  <c r="K67" i="341"/>
  <c r="U66" i="341"/>
  <c r="T66" i="341"/>
  <c r="S66" i="341"/>
  <c r="Q66" i="341"/>
  <c r="K66" i="341"/>
  <c r="U65" i="341"/>
  <c r="T65" i="341"/>
  <c r="S65" i="341"/>
  <c r="Q65" i="341"/>
  <c r="K65" i="341"/>
  <c r="U64" i="341"/>
  <c r="T64" i="341"/>
  <c r="S64" i="341"/>
  <c r="Q64" i="341"/>
  <c r="K64" i="341"/>
  <c r="U63" i="341"/>
  <c r="T63" i="341"/>
  <c r="S63" i="341"/>
  <c r="Q63" i="341"/>
  <c r="K63" i="341"/>
  <c r="AC62" i="341"/>
  <c r="U62" i="341"/>
  <c r="T62" i="341"/>
  <c r="S62" i="341"/>
  <c r="Q62" i="341"/>
  <c r="K62" i="341"/>
  <c r="U61" i="341"/>
  <c r="T61" i="341"/>
  <c r="S61" i="341"/>
  <c r="Q61" i="341"/>
  <c r="K61" i="341"/>
  <c r="AA60" i="341"/>
  <c r="AC80" i="341" s="1"/>
  <c r="U60" i="341"/>
  <c r="T60" i="341"/>
  <c r="S60" i="341"/>
  <c r="Q60" i="341"/>
  <c r="K60" i="341"/>
  <c r="AB59" i="341"/>
  <c r="AA59" i="341"/>
  <c r="AC79" i="341" s="1"/>
  <c r="U59" i="341"/>
  <c r="T59" i="341"/>
  <c r="S59" i="341"/>
  <c r="Q59" i="341"/>
  <c r="K59" i="341"/>
  <c r="AA58" i="341"/>
  <c r="U58" i="341"/>
  <c r="T58" i="341"/>
  <c r="S58" i="341"/>
  <c r="Q58" i="341"/>
  <c r="K58" i="341"/>
  <c r="U57" i="341"/>
  <c r="T57" i="341"/>
  <c r="S57" i="341"/>
  <c r="Q57" i="341"/>
  <c r="K57" i="341"/>
  <c r="U56" i="341"/>
  <c r="T56" i="341"/>
  <c r="S56" i="341"/>
  <c r="Q56" i="341"/>
  <c r="K56" i="341"/>
  <c r="Y55" i="341"/>
  <c r="U55" i="341"/>
  <c r="S55" i="341"/>
  <c r="Q55" i="341"/>
  <c r="T55" i="341" s="1"/>
  <c r="K55" i="341"/>
  <c r="U54" i="341"/>
  <c r="T54" i="341"/>
  <c r="S54" i="341"/>
  <c r="Q54" i="341"/>
  <c r="K54" i="341"/>
  <c r="Y53" i="341"/>
  <c r="U53" i="341"/>
  <c r="T53" i="341"/>
  <c r="Q53" i="341"/>
  <c r="S53" i="341" s="1"/>
  <c r="K53" i="341"/>
  <c r="U52" i="341"/>
  <c r="T52" i="341"/>
  <c r="S52" i="341"/>
  <c r="Q52" i="341"/>
  <c r="K52" i="341"/>
  <c r="Y51" i="341"/>
  <c r="U51" i="341"/>
  <c r="S51" i="341"/>
  <c r="Q51" i="341"/>
  <c r="K51" i="341"/>
  <c r="AB50" i="341"/>
  <c r="U50" i="341"/>
  <c r="T50" i="341"/>
  <c r="S50" i="341"/>
  <c r="Q50" i="341"/>
  <c r="K50" i="341"/>
  <c r="Y49" i="341"/>
  <c r="Z49" i="341" s="1"/>
  <c r="U49" i="341"/>
  <c r="T49" i="341"/>
  <c r="S49" i="341"/>
  <c r="Q49" i="341"/>
  <c r="K49" i="341"/>
  <c r="Y48" i="341"/>
  <c r="Z48" i="341" s="1"/>
  <c r="U48" i="341"/>
  <c r="T48" i="341"/>
  <c r="S48" i="341"/>
  <c r="Q48" i="341"/>
  <c r="K48" i="341"/>
  <c r="U47" i="341"/>
  <c r="T47" i="341"/>
  <c r="S47" i="341"/>
  <c r="Q47" i="341"/>
  <c r="K47" i="341"/>
  <c r="U46" i="341"/>
  <c r="T46" i="341"/>
  <c r="Q46" i="341"/>
  <c r="S46" i="341" s="1"/>
  <c r="K46" i="341"/>
  <c r="AB45" i="341"/>
  <c r="AA45" i="341"/>
  <c r="U45" i="341"/>
  <c r="T45" i="341"/>
  <c r="S45" i="341"/>
  <c r="Q45" i="341"/>
  <c r="K45" i="341"/>
  <c r="AB44" i="341"/>
  <c r="AA44" i="341"/>
  <c r="U44" i="341"/>
  <c r="T44" i="341"/>
  <c r="S44" i="341"/>
  <c r="Q44" i="341"/>
  <c r="K44" i="341"/>
  <c r="AB43" i="341"/>
  <c r="AA43" i="341"/>
  <c r="U43" i="341"/>
  <c r="T43" i="341"/>
  <c r="S43" i="341"/>
  <c r="Q43" i="341"/>
  <c r="K43" i="341"/>
  <c r="U42" i="341"/>
  <c r="T42" i="341"/>
  <c r="S42" i="341"/>
  <c r="Q42" i="341"/>
  <c r="K42" i="341"/>
  <c r="U41" i="341"/>
  <c r="T41" i="341"/>
  <c r="S41" i="341"/>
  <c r="Q41" i="341"/>
  <c r="K41" i="341"/>
  <c r="U40" i="341"/>
  <c r="T40" i="341"/>
  <c r="S40" i="341"/>
  <c r="K40" i="341"/>
  <c r="U39" i="341"/>
  <c r="T39" i="341"/>
  <c r="S39" i="341"/>
  <c r="Q39" i="341"/>
  <c r="K39" i="341"/>
  <c r="U38" i="341"/>
  <c r="T38" i="341"/>
  <c r="S38" i="341"/>
  <c r="Q38" i="341"/>
  <c r="K38" i="341"/>
  <c r="U37" i="341"/>
  <c r="T37" i="341"/>
  <c r="S37" i="341"/>
  <c r="Q37" i="341"/>
  <c r="K37" i="341"/>
  <c r="Z36" i="341"/>
  <c r="U36" i="341"/>
  <c r="T36" i="341"/>
  <c r="S36" i="341"/>
  <c r="Q36" i="341"/>
  <c r="K36" i="341"/>
  <c r="Z35" i="341"/>
  <c r="U35" i="341"/>
  <c r="T35" i="341"/>
  <c r="S35" i="341"/>
  <c r="Q35" i="341"/>
  <c r="K35" i="341"/>
  <c r="AC34" i="341"/>
  <c r="AD34" i="341" s="1"/>
  <c r="AD36" i="341" s="1"/>
  <c r="U34" i="341"/>
  <c r="T34" i="341"/>
  <c r="S34" i="341"/>
  <c r="Q34" i="341"/>
  <c r="K34" i="341"/>
  <c r="U33" i="341"/>
  <c r="T33" i="341"/>
  <c r="S33" i="341"/>
  <c r="Q33" i="341"/>
  <c r="K33" i="341"/>
  <c r="U32" i="341"/>
  <c r="T32" i="341"/>
  <c r="S32" i="341"/>
  <c r="Q32" i="341"/>
  <c r="K32" i="341"/>
  <c r="U31" i="341"/>
  <c r="T31" i="341"/>
  <c r="S31" i="341"/>
  <c r="Q31" i="341"/>
  <c r="K31" i="341"/>
  <c r="Z30" i="341"/>
  <c r="U30" i="341"/>
  <c r="T30" i="341"/>
  <c r="S30" i="341"/>
  <c r="Q30" i="341"/>
  <c r="K30" i="341"/>
  <c r="U29" i="341"/>
  <c r="T29" i="341"/>
  <c r="S29" i="341"/>
  <c r="Q29" i="341"/>
  <c r="K29" i="341"/>
  <c r="U28" i="341"/>
  <c r="T28" i="341"/>
  <c r="S28" i="341"/>
  <c r="Q28" i="341"/>
  <c r="K28" i="341"/>
  <c r="U27" i="341"/>
  <c r="T27" i="341"/>
  <c r="S27" i="341"/>
  <c r="Q27" i="341"/>
  <c r="K27" i="341"/>
  <c r="T26" i="341"/>
  <c r="S26" i="341"/>
  <c r="Q26" i="341"/>
  <c r="K26" i="341"/>
  <c r="U25" i="341"/>
  <c r="T25" i="341"/>
  <c r="Q25" i="341"/>
  <c r="S25" i="341" s="1"/>
  <c r="K25" i="341"/>
  <c r="U24" i="341"/>
  <c r="T24" i="341"/>
  <c r="S24" i="341"/>
  <c r="Q24" i="341"/>
  <c r="K24" i="341"/>
  <c r="U23" i="341"/>
  <c r="T23" i="341"/>
  <c r="S23" i="341"/>
  <c r="Q23" i="341"/>
  <c r="K23" i="341"/>
  <c r="U22" i="341"/>
  <c r="T22" i="341"/>
  <c r="Q22" i="341"/>
  <c r="S22" i="341" s="1"/>
  <c r="K22" i="341"/>
  <c r="U21" i="341"/>
  <c r="T21" i="341"/>
  <c r="S21" i="341"/>
  <c r="Q21" i="341"/>
  <c r="K21" i="341"/>
  <c r="U20" i="341"/>
  <c r="T20" i="341"/>
  <c r="Q20" i="341"/>
  <c r="S20" i="341" s="1"/>
  <c r="K20" i="341"/>
  <c r="U19" i="341"/>
  <c r="T19" i="341"/>
  <c r="Q19" i="341"/>
  <c r="S19" i="341" s="1"/>
  <c r="K19" i="341"/>
  <c r="U18" i="341"/>
  <c r="S18" i="341"/>
  <c r="AB99" i="341" s="1"/>
  <c r="Q18" i="341"/>
  <c r="T18" i="341" s="1"/>
  <c r="AB94" i="341" s="1"/>
  <c r="K18" i="341"/>
  <c r="U17" i="341"/>
  <c r="Q17" i="341"/>
  <c r="S17" i="341" s="1"/>
  <c r="K17" i="341"/>
  <c r="U16" i="341"/>
  <c r="T16" i="341"/>
  <c r="S16" i="341"/>
  <c r="K16" i="341"/>
  <c r="Z15" i="341"/>
  <c r="U15" i="341"/>
  <c r="T15" i="341"/>
  <c r="Q15" i="341"/>
  <c r="S15" i="341" s="1"/>
  <c r="K15" i="341"/>
  <c r="U14" i="341"/>
  <c r="T14" i="341"/>
  <c r="Q14" i="341"/>
  <c r="S14" i="341" s="1"/>
  <c r="K14" i="341"/>
  <c r="U13" i="341"/>
  <c r="T13" i="341"/>
  <c r="Q13" i="341"/>
  <c r="S13" i="341" s="1"/>
  <c r="K13" i="341"/>
  <c r="AC12" i="341"/>
  <c r="AB12" i="341"/>
  <c r="AA12" i="341"/>
  <c r="U12" i="341"/>
  <c r="T12" i="341"/>
  <c r="Q12" i="341"/>
  <c r="S12" i="341" s="1"/>
  <c r="K12" i="341"/>
  <c r="AA11" i="341"/>
  <c r="U11" i="341"/>
  <c r="T11" i="341"/>
  <c r="Q11" i="341"/>
  <c r="S11" i="341" s="1"/>
  <c r="K11" i="341"/>
  <c r="AB10" i="341"/>
  <c r="U10" i="341"/>
  <c r="T10" i="341"/>
  <c r="Q10" i="341"/>
  <c r="S10" i="341" s="1"/>
  <c r="K10" i="341"/>
  <c r="AA9" i="341"/>
  <c r="U9" i="341"/>
  <c r="Q9" i="341"/>
  <c r="S9" i="341" s="1"/>
  <c r="K9" i="341"/>
  <c r="U8" i="341"/>
  <c r="T8" i="341"/>
  <c r="Q8" i="341"/>
  <c r="S8" i="341" s="1"/>
  <c r="K8" i="341"/>
  <c r="AD7" i="341"/>
  <c r="Z7" i="341"/>
  <c r="U7" i="341"/>
  <c r="Q7" i="341"/>
  <c r="S7" i="341" s="1"/>
  <c r="K7" i="341"/>
  <c r="AA92" i="341"/>
  <c r="Z6" i="341"/>
  <c r="U6" i="341"/>
  <c r="T6" i="341"/>
  <c r="Q6" i="341"/>
  <c r="S6" i="341" s="1"/>
  <c r="K6" i="341"/>
  <c r="U5" i="341"/>
  <c r="S5" i="341"/>
  <c r="Q5" i="341"/>
  <c r="T5" i="341" s="1"/>
  <c r="K5" i="341"/>
  <c r="U4" i="341"/>
  <c r="S4" i="341"/>
  <c r="Q4" i="341"/>
  <c r="T4" i="341" s="1"/>
  <c r="K4" i="341"/>
  <c r="AE3" i="341"/>
  <c r="U3" i="341"/>
  <c r="S3" i="341"/>
  <c r="Q3" i="341"/>
  <c r="T3" i="341" s="1"/>
  <c r="K3" i="341"/>
  <c r="U2" i="341"/>
  <c r="T2" i="341"/>
  <c r="Q2" i="341"/>
  <c r="K2" i="341"/>
  <c r="X47" i="346" l="1"/>
  <c r="W48" i="346"/>
  <c r="W49" i="346" s="1"/>
  <c r="X49" i="345"/>
  <c r="W50" i="345"/>
  <c r="X47" i="344"/>
  <c r="W48" i="344"/>
  <c r="W49" i="344" s="1"/>
  <c r="Z10" i="341"/>
  <c r="AK79" i="341" s="1"/>
  <c r="AJ57" i="341"/>
  <c r="W47" i="343"/>
  <c r="X46" i="343"/>
  <c r="W46" i="342"/>
  <c r="X45" i="342"/>
  <c r="Z16" i="341"/>
  <c r="AA16" i="341" s="1"/>
  <c r="U26" i="341"/>
  <c r="AB102" i="341" s="1"/>
  <c r="AC44" i="341"/>
  <c r="V86" i="341"/>
  <c r="V71" i="341"/>
  <c r="V92" i="341"/>
  <c r="V78" i="341"/>
  <c r="V87" i="341"/>
  <c r="V24" i="341"/>
  <c r="V57" i="341"/>
  <c r="V60" i="341"/>
  <c r="V72" i="341"/>
  <c r="V93" i="341"/>
  <c r="N94" i="341"/>
  <c r="O95" i="341" s="1"/>
  <c r="V96" i="341"/>
  <c r="V48" i="341"/>
  <c r="V61" i="341"/>
  <c r="V98" i="341"/>
  <c r="V99" i="341"/>
  <c r="AA15" i="341"/>
  <c r="Z37" i="341"/>
  <c r="V40" i="341"/>
  <c r="AB47" i="341"/>
  <c r="AB62" i="341"/>
  <c r="V62" i="341"/>
  <c r="V63" i="341"/>
  <c r="V65" i="341"/>
  <c r="V67" i="341"/>
  <c r="V68" i="341"/>
  <c r="V74" i="341"/>
  <c r="V77" i="341"/>
  <c r="V79" i="341"/>
  <c r="V83" i="341"/>
  <c r="V102" i="341"/>
  <c r="V21" i="341"/>
  <c r="V30" i="341"/>
  <c r="V32" i="341"/>
  <c r="AE34" i="341"/>
  <c r="AD35" i="341"/>
  <c r="AC45" i="341"/>
  <c r="V53" i="341"/>
  <c r="V58" i="341"/>
  <c r="V59" i="341"/>
  <c r="AB61" i="341"/>
  <c r="V66" i="341"/>
  <c r="V81" i="341"/>
  <c r="V84" i="341"/>
  <c r="X84" i="341" s="1"/>
  <c r="V89" i="341"/>
  <c r="V91" i="341"/>
  <c r="V101" i="341"/>
  <c r="AD37" i="341"/>
  <c r="V34" i="341"/>
  <c r="V42" i="341"/>
  <c r="V69" i="341"/>
  <c r="V33" i="341"/>
  <c r="V41" i="341"/>
  <c r="V45" i="341"/>
  <c r="V38" i="341"/>
  <c r="V43" i="341"/>
  <c r="V31" i="341"/>
  <c r="V36" i="341"/>
  <c r="V39" i="341"/>
  <c r="V49" i="341"/>
  <c r="V54" i="341"/>
  <c r="V12" i="341"/>
  <c r="V52" i="341"/>
  <c r="V10" i="341"/>
  <c r="V14" i="341"/>
  <c r="T17" i="341"/>
  <c r="V5" i="341"/>
  <c r="V13" i="341"/>
  <c r="V15" i="341"/>
  <c r="V18" i="341"/>
  <c r="V25" i="341"/>
  <c r="V4" i="341"/>
  <c r="V6" i="341"/>
  <c r="V8" i="341"/>
  <c r="V19" i="341"/>
  <c r="V20" i="341"/>
  <c r="V27" i="341"/>
  <c r="V29" i="341"/>
  <c r="T9" i="341"/>
  <c r="V9" i="341" s="1"/>
  <c r="V11" i="341"/>
  <c r="V22" i="341"/>
  <c r="T7" i="341"/>
  <c r="V7" i="341" s="1"/>
  <c r="V50" i="341"/>
  <c r="V3" i="341"/>
  <c r="N50" i="341"/>
  <c r="R54" i="341"/>
  <c r="T51" i="341"/>
  <c r="V51" i="341" s="1"/>
  <c r="R50" i="341"/>
  <c r="K105" i="341"/>
  <c r="K108" i="341" s="1"/>
  <c r="K110" i="341" s="1"/>
  <c r="N2" i="341"/>
  <c r="O8" i="341" s="1"/>
  <c r="Z14" i="341"/>
  <c r="AB98" i="341"/>
  <c r="V16" i="341"/>
  <c r="N56" i="341"/>
  <c r="O68" i="341" s="1"/>
  <c r="N85" i="341"/>
  <c r="O92" i="341" s="1"/>
  <c r="AA10" i="341"/>
  <c r="AB93" i="341"/>
  <c r="AB42" i="341"/>
  <c r="N81" i="341"/>
  <c r="O84" i="341" s="1"/>
  <c r="AA36" i="341"/>
  <c r="AB36" i="341" s="1"/>
  <c r="Q105" i="341"/>
  <c r="S2" i="341"/>
  <c r="AC61" i="341"/>
  <c r="AA69" i="341" s="1"/>
  <c r="AC58" i="341"/>
  <c r="V23" i="341"/>
  <c r="V28" i="341"/>
  <c r="V46" i="341"/>
  <c r="H105" i="341"/>
  <c r="AA42" i="341"/>
  <c r="AA97" i="341"/>
  <c r="N27" i="341"/>
  <c r="O55" i="341" s="1"/>
  <c r="V35" i="341"/>
  <c r="V37" i="341"/>
  <c r="O66" i="341"/>
  <c r="AC35" i="341"/>
  <c r="AC36" i="341"/>
  <c r="AE36" i="341" s="1"/>
  <c r="V44" i="341"/>
  <c r="V47" i="341"/>
  <c r="V55" i="341"/>
  <c r="V70" i="341"/>
  <c r="V76" i="341"/>
  <c r="V80" i="341"/>
  <c r="V88" i="341"/>
  <c r="V90" i="341"/>
  <c r="V94" i="341"/>
  <c r="V100" i="341"/>
  <c r="V103" i="341"/>
  <c r="AB100" i="341"/>
  <c r="AC43" i="341"/>
  <c r="R52" i="341"/>
  <c r="V56" i="341"/>
  <c r="AA62" i="341"/>
  <c r="AC78" i="341"/>
  <c r="AC81" i="341" s="1"/>
  <c r="AA61" i="341"/>
  <c r="V64" i="341"/>
  <c r="V73" i="341"/>
  <c r="V75" i="341"/>
  <c r="V82" i="341"/>
  <c r="V85" i="341"/>
  <c r="V95" i="341"/>
  <c r="V97" i="341"/>
  <c r="AE59" i="340"/>
  <c r="W50" i="346" l="1"/>
  <c r="X49" i="346"/>
  <c r="X50" i="345"/>
  <c r="W51" i="345"/>
  <c r="W52" i="345" s="1"/>
  <c r="W53" i="345" s="1"/>
  <c r="W50" i="344"/>
  <c r="X49" i="344"/>
  <c r="AJ59" i="341"/>
  <c r="AJ58" i="341"/>
  <c r="X47" i="343"/>
  <c r="W48" i="343"/>
  <c r="W49" i="343" s="1"/>
  <c r="W47" i="342"/>
  <c r="X46" i="342"/>
  <c r="O102" i="341"/>
  <c r="V26" i="341"/>
  <c r="U105" i="341"/>
  <c r="AD4" i="341" s="1"/>
  <c r="Z60" i="341" s="1"/>
  <c r="O101" i="341"/>
  <c r="O62" i="341"/>
  <c r="O99" i="341"/>
  <c r="O103" i="341"/>
  <c r="O94" i="341"/>
  <c r="O97" i="341"/>
  <c r="O98" i="341"/>
  <c r="AB95" i="341"/>
  <c r="AA68" i="341"/>
  <c r="O91" i="341"/>
  <c r="O83" i="341"/>
  <c r="O45" i="341"/>
  <c r="O93" i="341"/>
  <c r="O100" i="341"/>
  <c r="O49" i="341"/>
  <c r="O96" i="341"/>
  <c r="O86" i="341"/>
  <c r="O87" i="341"/>
  <c r="V17" i="341"/>
  <c r="O54" i="341"/>
  <c r="O53" i="341"/>
  <c r="AB92" i="341"/>
  <c r="O19" i="341"/>
  <c r="O25" i="341"/>
  <c r="T105" i="341"/>
  <c r="AB4" i="341" s="1"/>
  <c r="AB5" i="341" s="1"/>
  <c r="O56" i="341"/>
  <c r="O41" i="341"/>
  <c r="O33" i="341"/>
  <c r="O31" i="341"/>
  <c r="O46" i="341"/>
  <c r="O36" i="341"/>
  <c r="O74" i="341"/>
  <c r="O72" i="341"/>
  <c r="O61" i="341"/>
  <c r="O58" i="341"/>
  <c r="O57" i="341"/>
  <c r="O67" i="341"/>
  <c r="O63" i="341"/>
  <c r="O77" i="341"/>
  <c r="O59" i="341"/>
  <c r="O80" i="341"/>
  <c r="O79" i="341"/>
  <c r="O69" i="341"/>
  <c r="O76" i="341"/>
  <c r="O64" i="341"/>
  <c r="O32" i="341"/>
  <c r="N105" i="341"/>
  <c r="O27" i="341"/>
  <c r="O26" i="341"/>
  <c r="O20" i="341"/>
  <c r="O13" i="341"/>
  <c r="O11" i="341"/>
  <c r="O9" i="341"/>
  <c r="O5" i="341"/>
  <c r="O22" i="341"/>
  <c r="O50" i="341"/>
  <c r="O14" i="341"/>
  <c r="O6" i="341"/>
  <c r="O71" i="341"/>
  <c r="O44" i="341"/>
  <c r="O75" i="341"/>
  <c r="O70" i="341"/>
  <c r="O29" i="341"/>
  <c r="O17" i="341"/>
  <c r="S105" i="341"/>
  <c r="AC4" i="341" s="1"/>
  <c r="AB97" i="341"/>
  <c r="V2" i="341"/>
  <c r="V105" i="341" s="1"/>
  <c r="O81" i="341"/>
  <c r="O82" i="341"/>
  <c r="O85" i="341"/>
  <c r="O89" i="341"/>
  <c r="O90" i="341"/>
  <c r="O88" i="341"/>
  <c r="O60" i="341"/>
  <c r="O12" i="341"/>
  <c r="R105" i="341"/>
  <c r="O35" i="341"/>
  <c r="O7" i="341"/>
  <c r="O39" i="341"/>
  <c r="O34" i="341"/>
  <c r="O3" i="341"/>
  <c r="O10" i="341"/>
  <c r="O16" i="341"/>
  <c r="O78" i="341"/>
  <c r="O65" i="341"/>
  <c r="AE35" i="341"/>
  <c r="AE37" i="341" s="1"/>
  <c r="AC37" i="341"/>
  <c r="AC42" i="341"/>
  <c r="O47" i="341"/>
  <c r="O43" i="341"/>
  <c r="O24" i="341"/>
  <c r="O38" i="341"/>
  <c r="O15" i="341"/>
  <c r="O73" i="341"/>
  <c r="O30" i="341"/>
  <c r="Z18" i="341"/>
  <c r="Z24" i="341" s="1"/>
  <c r="AA4" i="341"/>
  <c r="AA3" i="341"/>
  <c r="Z13" i="341"/>
  <c r="O37" i="341"/>
  <c r="O2" i="341"/>
  <c r="O4" i="341"/>
  <c r="O28" i="341"/>
  <c r="O42" i="341"/>
  <c r="AF60" i="340"/>
  <c r="AF59" i="340"/>
  <c r="AF58" i="340"/>
  <c r="W51" i="346" l="1"/>
  <c r="W52" i="346" s="1"/>
  <c r="W53" i="346" s="1"/>
  <c r="X50" i="346"/>
  <c r="X53" i="345"/>
  <c r="W54" i="345"/>
  <c r="X50" i="344"/>
  <c r="W51" i="344"/>
  <c r="W52" i="344" s="1"/>
  <c r="W53" i="344" s="1"/>
  <c r="W50" i="343"/>
  <c r="X49" i="343"/>
  <c r="W48" i="342"/>
  <c r="W49" i="342" s="1"/>
  <c r="X47" i="342"/>
  <c r="W2" i="341"/>
  <c r="W3" i="341" s="1"/>
  <c r="AD5" i="341"/>
  <c r="AA34" i="341" s="1"/>
  <c r="AB34" i="341" s="1"/>
  <c r="AA35" i="341"/>
  <c r="AB35" i="341" s="1"/>
  <c r="Z58" i="341"/>
  <c r="AB78" i="341" s="1"/>
  <c r="AE4" i="341"/>
  <c r="AF4" i="341" s="1"/>
  <c r="Z3" i="341"/>
  <c r="Z4" i="341"/>
  <c r="AG3" i="341"/>
  <c r="AA5" i="341"/>
  <c r="AF3" i="341"/>
  <c r="Z59" i="341"/>
  <c r="AC5" i="341"/>
  <c r="L2" i="341"/>
  <c r="L3" i="341" s="1"/>
  <c r="L4" i="341" s="1"/>
  <c r="L5" i="341" s="1"/>
  <c r="L6" i="341" s="1"/>
  <c r="L7" i="341" s="1"/>
  <c r="L8" i="341" s="1"/>
  <c r="L9" i="341" s="1"/>
  <c r="L10" i="341" s="1"/>
  <c r="L11" i="341" s="1"/>
  <c r="L12" i="341" s="1"/>
  <c r="L13" i="341" s="1"/>
  <c r="L14" i="341" s="1"/>
  <c r="L15" i="341" s="1"/>
  <c r="L16" i="341" s="1"/>
  <c r="L17" i="341" s="1"/>
  <c r="L18" i="341" s="1"/>
  <c r="L19" i="341" s="1"/>
  <c r="L20" i="341" s="1"/>
  <c r="L21" i="341" s="1"/>
  <c r="L22" i="341" s="1"/>
  <c r="L23" i="341" s="1"/>
  <c r="L24" i="341" s="1"/>
  <c r="L25" i="341" s="1"/>
  <c r="L26" i="341" s="1"/>
  <c r="L27" i="341" s="1"/>
  <c r="L28" i="341" s="1"/>
  <c r="L29" i="341" s="1"/>
  <c r="L30" i="341" s="1"/>
  <c r="L31" i="341" s="1"/>
  <c r="L32" i="341" s="1"/>
  <c r="L33" i="341" s="1"/>
  <c r="L34" i="341" s="1"/>
  <c r="L35" i="341" s="1"/>
  <c r="L36" i="341" s="1"/>
  <c r="L37" i="341" s="1"/>
  <c r="L38" i="341" s="1"/>
  <c r="L39" i="341" s="1"/>
  <c r="L40" i="341" s="1"/>
  <c r="L41" i="341" s="1"/>
  <c r="L42" i="341" s="1"/>
  <c r="L43" i="341" s="1"/>
  <c r="L44" i="341" s="1"/>
  <c r="L45" i="341" s="1"/>
  <c r="L46" i="341" s="1"/>
  <c r="L47" i="341" s="1"/>
  <c r="L48" i="341" s="1"/>
  <c r="L49" i="341" s="1"/>
  <c r="L50" i="341" s="1"/>
  <c r="L51" i="341" s="1"/>
  <c r="L52" i="341" s="1"/>
  <c r="L53" i="341" s="1"/>
  <c r="L54" i="341" s="1"/>
  <c r="L55" i="341" s="1"/>
  <c r="L56" i="341" s="1"/>
  <c r="L57" i="341" s="1"/>
  <c r="L58" i="341" s="1"/>
  <c r="L59" i="341" s="1"/>
  <c r="L60" i="341" s="1"/>
  <c r="L61" i="341" s="1"/>
  <c r="L62" i="341" s="1"/>
  <c r="L63" i="341" s="1"/>
  <c r="L64" i="341" s="1"/>
  <c r="L65" i="341" s="1"/>
  <c r="L66" i="341" s="1"/>
  <c r="L67" i="341" s="1"/>
  <c r="L68" i="341" s="1"/>
  <c r="L69" i="341" s="1"/>
  <c r="L70" i="341" s="1"/>
  <c r="L71" i="341" s="1"/>
  <c r="L72" i="341" s="1"/>
  <c r="L73" i="341" s="1"/>
  <c r="L74" i="341" s="1"/>
  <c r="L75" i="341" s="1"/>
  <c r="L76" i="341" s="1"/>
  <c r="L77" i="341" s="1"/>
  <c r="L78" i="341" s="1"/>
  <c r="L79" i="341" s="1"/>
  <c r="L80" i="341" s="1"/>
  <c r="L81" i="341" s="1"/>
  <c r="L82" i="341" s="1"/>
  <c r="L83" i="341" s="1"/>
  <c r="L84" i="341" s="1"/>
  <c r="L85" i="341" s="1"/>
  <c r="L86" i="341" s="1"/>
  <c r="L87" i="341" s="1"/>
  <c r="L88" i="341" s="1"/>
  <c r="L89" i="341" s="1"/>
  <c r="L90" i="341" s="1"/>
  <c r="L91" i="341" s="1"/>
  <c r="L92" i="341" s="1"/>
  <c r="L93" i="341" s="1"/>
  <c r="L94" i="341" s="1"/>
  <c r="L95" i="341" s="1"/>
  <c r="L96" i="341" s="1"/>
  <c r="L97" i="341" s="1"/>
  <c r="L98" i="341" s="1"/>
  <c r="L99" i="341" s="1"/>
  <c r="L100" i="341" s="1"/>
  <c r="L101" i="341" s="1"/>
  <c r="L102" i="341" s="1"/>
  <c r="L103" i="341" s="1"/>
  <c r="L105" i="341" s="1"/>
  <c r="AG4" i="341"/>
  <c r="AA37" i="341"/>
  <c r="AB37" i="341" s="1"/>
  <c r="AB80" i="341"/>
  <c r="AD80" i="341" s="1"/>
  <c r="AK77" i="341" s="1"/>
  <c r="AL77" i="341" s="1"/>
  <c r="AD60" i="341"/>
  <c r="AF60" i="341" s="1"/>
  <c r="Z53" i="341"/>
  <c r="I7" i="340"/>
  <c r="H7" i="340"/>
  <c r="U123" i="340"/>
  <c r="I113" i="340"/>
  <c r="P105" i="340"/>
  <c r="M105" i="340"/>
  <c r="J105" i="340"/>
  <c r="H105" i="340"/>
  <c r="U103" i="340"/>
  <c r="T103" i="340"/>
  <c r="S103" i="340"/>
  <c r="Q103" i="340"/>
  <c r="K103" i="340"/>
  <c r="AA102" i="340"/>
  <c r="U102" i="340"/>
  <c r="T102" i="340"/>
  <c r="S102" i="340"/>
  <c r="Q102" i="340"/>
  <c r="K102" i="340"/>
  <c r="U101" i="340"/>
  <c r="T101" i="340"/>
  <c r="S101" i="340"/>
  <c r="Q101" i="340"/>
  <c r="K101" i="340"/>
  <c r="AA100" i="340"/>
  <c r="U100" i="340"/>
  <c r="T100" i="340"/>
  <c r="S100" i="340"/>
  <c r="Q100" i="340"/>
  <c r="K100" i="340"/>
  <c r="AA99" i="340"/>
  <c r="U99" i="340"/>
  <c r="T99" i="340"/>
  <c r="S99" i="340"/>
  <c r="Q99" i="340"/>
  <c r="K99" i="340"/>
  <c r="AA98" i="340"/>
  <c r="U98" i="340"/>
  <c r="T98" i="340"/>
  <c r="S98" i="340"/>
  <c r="Q98" i="340"/>
  <c r="K98" i="340"/>
  <c r="AA97" i="340"/>
  <c r="U97" i="340"/>
  <c r="T97" i="340"/>
  <c r="S97" i="340"/>
  <c r="Q97" i="340"/>
  <c r="K97" i="340"/>
  <c r="U96" i="340"/>
  <c r="T96" i="340"/>
  <c r="S96" i="340"/>
  <c r="Q96" i="340"/>
  <c r="K96" i="340"/>
  <c r="AA95" i="340"/>
  <c r="U95" i="340"/>
  <c r="T95" i="340"/>
  <c r="S95" i="340"/>
  <c r="Q95" i="340"/>
  <c r="K95" i="340"/>
  <c r="AA94" i="340"/>
  <c r="U94" i="340"/>
  <c r="T94" i="340"/>
  <c r="S94" i="340"/>
  <c r="Q94" i="340"/>
  <c r="K94" i="340"/>
  <c r="AA93" i="340"/>
  <c r="U93" i="340"/>
  <c r="T93" i="340"/>
  <c r="S93" i="340"/>
  <c r="Q93" i="340"/>
  <c r="K93" i="340"/>
  <c r="U92" i="340"/>
  <c r="T92" i="340"/>
  <c r="S92" i="340"/>
  <c r="Q92" i="340"/>
  <c r="K92" i="340"/>
  <c r="U91" i="340"/>
  <c r="T91" i="340"/>
  <c r="S91" i="340"/>
  <c r="Q91" i="340"/>
  <c r="K91" i="340"/>
  <c r="U90" i="340"/>
  <c r="T90" i="340"/>
  <c r="S90" i="340"/>
  <c r="Q90" i="340"/>
  <c r="K90" i="340"/>
  <c r="U89" i="340"/>
  <c r="T89" i="340"/>
  <c r="S89" i="340"/>
  <c r="Q89" i="340"/>
  <c r="K89" i="340"/>
  <c r="U88" i="340"/>
  <c r="T88" i="340"/>
  <c r="S88" i="340"/>
  <c r="Q88" i="340"/>
  <c r="K88" i="340"/>
  <c r="AE87" i="340"/>
  <c r="AA87" i="340"/>
  <c r="Y87" i="340"/>
  <c r="U87" i="340"/>
  <c r="T87" i="340"/>
  <c r="S87" i="340"/>
  <c r="Q87" i="340"/>
  <c r="K87" i="340"/>
  <c r="AF86" i="340"/>
  <c r="AG86" i="340" s="1"/>
  <c r="AH86" i="340" s="1"/>
  <c r="AH87" i="340" s="1"/>
  <c r="AH88" i="340" s="1"/>
  <c r="U86" i="340"/>
  <c r="T86" i="340"/>
  <c r="S86" i="340"/>
  <c r="Q86" i="340"/>
  <c r="K86" i="340"/>
  <c r="U85" i="340"/>
  <c r="T85" i="340"/>
  <c r="S85" i="340"/>
  <c r="Q85" i="340"/>
  <c r="K85" i="340"/>
  <c r="U84" i="340"/>
  <c r="T84" i="340"/>
  <c r="S84" i="340"/>
  <c r="Q84" i="340"/>
  <c r="K84" i="340"/>
  <c r="U83" i="340"/>
  <c r="T83" i="340"/>
  <c r="S83" i="340"/>
  <c r="Q83" i="340"/>
  <c r="K83" i="340"/>
  <c r="U82" i="340"/>
  <c r="T82" i="340"/>
  <c r="S82" i="340"/>
  <c r="Q82" i="340"/>
  <c r="K82" i="340"/>
  <c r="AA81" i="340"/>
  <c r="AA86" i="340" s="1"/>
  <c r="AB86" i="340" s="1"/>
  <c r="AC86" i="340" s="1"/>
  <c r="AD86" i="340" s="1"/>
  <c r="AD87" i="340" s="1"/>
  <c r="AD88" i="340" s="1"/>
  <c r="Z81" i="340"/>
  <c r="U81" i="340"/>
  <c r="T81" i="340"/>
  <c r="S81" i="340"/>
  <c r="Q81" i="340"/>
  <c r="K81" i="340"/>
  <c r="AI80" i="340"/>
  <c r="U80" i="340"/>
  <c r="T80" i="340"/>
  <c r="S80" i="340"/>
  <c r="Q80" i="340"/>
  <c r="K80" i="340"/>
  <c r="AI79" i="340"/>
  <c r="U79" i="340"/>
  <c r="T79" i="340"/>
  <c r="S79" i="340"/>
  <c r="Q79" i="340"/>
  <c r="K79" i="340"/>
  <c r="AI78" i="340"/>
  <c r="U78" i="340"/>
  <c r="T78" i="340"/>
  <c r="S78" i="340"/>
  <c r="Q78" i="340"/>
  <c r="K78" i="340"/>
  <c r="U77" i="340"/>
  <c r="T77" i="340"/>
  <c r="S77" i="340"/>
  <c r="Q77" i="340"/>
  <c r="K77" i="340"/>
  <c r="U76" i="340"/>
  <c r="T76" i="340"/>
  <c r="S76" i="340"/>
  <c r="Q76" i="340"/>
  <c r="K76" i="340"/>
  <c r="U75" i="340"/>
  <c r="T75" i="340"/>
  <c r="S75" i="340"/>
  <c r="Q75" i="340"/>
  <c r="K75" i="340"/>
  <c r="U74" i="340"/>
  <c r="T74" i="340"/>
  <c r="S74" i="340"/>
  <c r="Q74" i="340"/>
  <c r="K74" i="340"/>
  <c r="AD73" i="340"/>
  <c r="Z73" i="340"/>
  <c r="U73" i="340"/>
  <c r="T73" i="340"/>
  <c r="S73" i="340"/>
  <c r="Q73" i="340"/>
  <c r="K73" i="340"/>
  <c r="Z72" i="340"/>
  <c r="U72" i="340"/>
  <c r="T72" i="340"/>
  <c r="S72" i="340"/>
  <c r="Q72" i="340"/>
  <c r="K72" i="340"/>
  <c r="U71" i="340"/>
  <c r="T71" i="340"/>
  <c r="S71" i="340"/>
  <c r="Q71" i="340"/>
  <c r="K71" i="340"/>
  <c r="U70" i="340"/>
  <c r="T70" i="340"/>
  <c r="S70" i="340"/>
  <c r="Q70" i="340"/>
  <c r="K70" i="340"/>
  <c r="U69" i="340"/>
  <c r="T69" i="340"/>
  <c r="S69" i="340"/>
  <c r="Q69" i="340"/>
  <c r="K69" i="340"/>
  <c r="U68" i="340"/>
  <c r="T68" i="340"/>
  <c r="S68" i="340"/>
  <c r="Q68" i="340"/>
  <c r="K68" i="340"/>
  <c r="AA67" i="340"/>
  <c r="U67" i="340"/>
  <c r="T67" i="340"/>
  <c r="S67" i="340"/>
  <c r="Q67" i="340"/>
  <c r="K67" i="340"/>
  <c r="U66" i="340"/>
  <c r="T66" i="340"/>
  <c r="S66" i="340"/>
  <c r="Q66" i="340"/>
  <c r="K66" i="340"/>
  <c r="U65" i="340"/>
  <c r="T65" i="340"/>
  <c r="S65" i="340"/>
  <c r="Q65" i="340"/>
  <c r="K65" i="340"/>
  <c r="U64" i="340"/>
  <c r="T64" i="340"/>
  <c r="S64" i="340"/>
  <c r="Q64" i="340"/>
  <c r="K64" i="340"/>
  <c r="U63" i="340"/>
  <c r="T63" i="340"/>
  <c r="S63" i="340"/>
  <c r="Q63" i="340"/>
  <c r="K63" i="340"/>
  <c r="AC62" i="340"/>
  <c r="U62" i="340"/>
  <c r="T62" i="340"/>
  <c r="S62" i="340"/>
  <c r="Q62" i="340"/>
  <c r="K62" i="340"/>
  <c r="U61" i="340"/>
  <c r="T61" i="340"/>
  <c r="S61" i="340"/>
  <c r="Q61" i="340"/>
  <c r="K61" i="340"/>
  <c r="AA60" i="340"/>
  <c r="AB47" i="340" s="1"/>
  <c r="U60" i="340"/>
  <c r="T60" i="340"/>
  <c r="S60" i="340"/>
  <c r="Q60" i="340"/>
  <c r="K60" i="340"/>
  <c r="AB59" i="340"/>
  <c r="AA59" i="340"/>
  <c r="AC79" i="340" s="1"/>
  <c r="U59" i="340"/>
  <c r="T59" i="340"/>
  <c r="S59" i="340"/>
  <c r="Q59" i="340"/>
  <c r="K59" i="340"/>
  <c r="AB58" i="340"/>
  <c r="AA58" i="340"/>
  <c r="U58" i="340"/>
  <c r="T58" i="340"/>
  <c r="S58" i="340"/>
  <c r="Q58" i="340"/>
  <c r="K58" i="340"/>
  <c r="U57" i="340"/>
  <c r="T57" i="340"/>
  <c r="S57" i="340"/>
  <c r="Q57" i="340"/>
  <c r="K57" i="340"/>
  <c r="U56" i="340"/>
  <c r="T56" i="340"/>
  <c r="S56" i="340"/>
  <c r="Q56" i="340"/>
  <c r="K56" i="340"/>
  <c r="Y55" i="340"/>
  <c r="U55" i="340"/>
  <c r="T55" i="340"/>
  <c r="S55" i="340"/>
  <c r="Q55" i="340"/>
  <c r="K55" i="340"/>
  <c r="U54" i="340"/>
  <c r="T54" i="340"/>
  <c r="S54" i="340"/>
  <c r="Q54" i="340"/>
  <c r="K54" i="340"/>
  <c r="Y53" i="340"/>
  <c r="U53" i="340"/>
  <c r="T53" i="340"/>
  <c r="Q53" i="340"/>
  <c r="S53" i="340" s="1"/>
  <c r="K53" i="340"/>
  <c r="U52" i="340"/>
  <c r="T52" i="340"/>
  <c r="S52" i="340"/>
  <c r="Q52" i="340"/>
  <c r="K52" i="340"/>
  <c r="Y51" i="340"/>
  <c r="U51" i="340"/>
  <c r="T51" i="340"/>
  <c r="S51" i="340"/>
  <c r="Q51" i="340"/>
  <c r="K51" i="340"/>
  <c r="AB50" i="340"/>
  <c r="U50" i="340"/>
  <c r="T50" i="340"/>
  <c r="S50" i="340"/>
  <c r="Q50" i="340"/>
  <c r="K50" i="340"/>
  <c r="Y49" i="340"/>
  <c r="Z49" i="340" s="1"/>
  <c r="U49" i="340"/>
  <c r="T49" i="340"/>
  <c r="S49" i="340"/>
  <c r="Q49" i="340"/>
  <c r="K49" i="340"/>
  <c r="Y48" i="340"/>
  <c r="Z48" i="340" s="1"/>
  <c r="U48" i="340"/>
  <c r="T48" i="340"/>
  <c r="S48" i="340"/>
  <c r="Q48" i="340"/>
  <c r="K48" i="340"/>
  <c r="U47" i="340"/>
  <c r="T47" i="340"/>
  <c r="S47" i="340"/>
  <c r="Q47" i="340"/>
  <c r="K47" i="340"/>
  <c r="U46" i="340"/>
  <c r="T46" i="340"/>
  <c r="Q46" i="340"/>
  <c r="S46" i="340" s="1"/>
  <c r="K46" i="340"/>
  <c r="AB45" i="340"/>
  <c r="AA45" i="340"/>
  <c r="AC45" i="340" s="1"/>
  <c r="U45" i="340"/>
  <c r="T45" i="340"/>
  <c r="S45" i="340"/>
  <c r="Q45" i="340"/>
  <c r="K45" i="340"/>
  <c r="AB44" i="340"/>
  <c r="AA44" i="340"/>
  <c r="U44" i="340"/>
  <c r="T44" i="340"/>
  <c r="S44" i="340"/>
  <c r="Q44" i="340"/>
  <c r="K44" i="340"/>
  <c r="AB43" i="340"/>
  <c r="AA43" i="340"/>
  <c r="U43" i="340"/>
  <c r="T43" i="340"/>
  <c r="S43" i="340"/>
  <c r="Q43" i="340"/>
  <c r="K43" i="340"/>
  <c r="U42" i="340"/>
  <c r="T42" i="340"/>
  <c r="S42" i="340"/>
  <c r="Q42" i="340"/>
  <c r="K42" i="340"/>
  <c r="U41" i="340"/>
  <c r="T41" i="340"/>
  <c r="S41" i="340"/>
  <c r="Q41" i="340"/>
  <c r="K41" i="340"/>
  <c r="U40" i="340"/>
  <c r="T40" i="340"/>
  <c r="S40" i="340"/>
  <c r="K40" i="340"/>
  <c r="U39" i="340"/>
  <c r="T39" i="340"/>
  <c r="S39" i="340"/>
  <c r="Q39" i="340"/>
  <c r="K39" i="340"/>
  <c r="U38" i="340"/>
  <c r="T38" i="340"/>
  <c r="Q38" i="340"/>
  <c r="S38" i="340" s="1"/>
  <c r="K38" i="340"/>
  <c r="U37" i="340"/>
  <c r="T37" i="340"/>
  <c r="S37" i="340"/>
  <c r="Q37" i="340"/>
  <c r="K37" i="340"/>
  <c r="Z36" i="340"/>
  <c r="U36" i="340"/>
  <c r="T36" i="340"/>
  <c r="S36" i="340"/>
  <c r="Q36" i="340"/>
  <c r="K36" i="340"/>
  <c r="Z35" i="340"/>
  <c r="U35" i="340"/>
  <c r="T35" i="340"/>
  <c r="S35" i="340"/>
  <c r="Q35" i="340"/>
  <c r="K35" i="340"/>
  <c r="AC34" i="340"/>
  <c r="AC36" i="340" s="1"/>
  <c r="U34" i="340"/>
  <c r="T34" i="340"/>
  <c r="S34" i="340"/>
  <c r="Q34" i="340"/>
  <c r="K34" i="340"/>
  <c r="U33" i="340"/>
  <c r="T33" i="340"/>
  <c r="S33" i="340"/>
  <c r="Q33" i="340"/>
  <c r="K33" i="340"/>
  <c r="U32" i="340"/>
  <c r="T32" i="340"/>
  <c r="S32" i="340"/>
  <c r="Q32" i="340"/>
  <c r="K32" i="340"/>
  <c r="U31" i="340"/>
  <c r="T31" i="340"/>
  <c r="S31" i="340"/>
  <c r="Q31" i="340"/>
  <c r="K31" i="340"/>
  <c r="Z30" i="340"/>
  <c r="Z10" i="340" s="1"/>
  <c r="U30" i="340"/>
  <c r="T30" i="340"/>
  <c r="S30" i="340"/>
  <c r="Q30" i="340"/>
  <c r="K30" i="340"/>
  <c r="U29" i="340"/>
  <c r="T29" i="340"/>
  <c r="S29" i="340"/>
  <c r="Q29" i="340"/>
  <c r="K29" i="340"/>
  <c r="U28" i="340"/>
  <c r="T28" i="340"/>
  <c r="S28" i="340"/>
  <c r="Q28" i="340"/>
  <c r="K28" i="340"/>
  <c r="U27" i="340"/>
  <c r="T27" i="340"/>
  <c r="S27" i="340"/>
  <c r="Q27" i="340"/>
  <c r="K27" i="340"/>
  <c r="T26" i="340"/>
  <c r="S26" i="340"/>
  <c r="Q26" i="340"/>
  <c r="U26" i="340" s="1"/>
  <c r="K26" i="340"/>
  <c r="U25" i="340"/>
  <c r="T25" i="340"/>
  <c r="Q25" i="340"/>
  <c r="S25" i="340" s="1"/>
  <c r="K25" i="340"/>
  <c r="U24" i="340"/>
  <c r="T24" i="340"/>
  <c r="S24" i="340"/>
  <c r="Q24" i="340"/>
  <c r="K24" i="340"/>
  <c r="U23" i="340"/>
  <c r="T23" i="340"/>
  <c r="S23" i="340"/>
  <c r="Q23" i="340"/>
  <c r="K23" i="340"/>
  <c r="U22" i="340"/>
  <c r="T22" i="340"/>
  <c r="Q22" i="340"/>
  <c r="S22" i="340" s="1"/>
  <c r="K22" i="340"/>
  <c r="U21" i="340"/>
  <c r="T21" i="340"/>
  <c r="S21" i="340"/>
  <c r="Q21" i="340"/>
  <c r="K21" i="340"/>
  <c r="U20" i="340"/>
  <c r="T20" i="340"/>
  <c r="Q20" i="340"/>
  <c r="S20" i="340" s="1"/>
  <c r="K20" i="340"/>
  <c r="U19" i="340"/>
  <c r="T19" i="340"/>
  <c r="Q19" i="340"/>
  <c r="S19" i="340" s="1"/>
  <c r="K19" i="340"/>
  <c r="U18" i="340"/>
  <c r="S18" i="340"/>
  <c r="Q18" i="340"/>
  <c r="T18" i="340" s="1"/>
  <c r="AB94" i="340" s="1"/>
  <c r="K18" i="340"/>
  <c r="U17" i="340"/>
  <c r="Q17" i="340"/>
  <c r="S17" i="340" s="1"/>
  <c r="K17" i="340"/>
  <c r="U16" i="340"/>
  <c r="T16" i="340"/>
  <c r="S16" i="340"/>
  <c r="K16" i="340"/>
  <c r="Z15" i="340"/>
  <c r="U15" i="340"/>
  <c r="T15" i="340"/>
  <c r="Q15" i="340"/>
  <c r="S15" i="340" s="1"/>
  <c r="K15" i="340"/>
  <c r="U14" i="340"/>
  <c r="T14" i="340"/>
  <c r="Q14" i="340"/>
  <c r="S14" i="340" s="1"/>
  <c r="K14" i="340"/>
  <c r="U13" i="340"/>
  <c r="T13" i="340"/>
  <c r="Q13" i="340"/>
  <c r="S13" i="340" s="1"/>
  <c r="K13" i="340"/>
  <c r="AC12" i="340"/>
  <c r="AB12" i="340"/>
  <c r="AA12" i="340"/>
  <c r="U12" i="340"/>
  <c r="T12" i="340"/>
  <c r="Q12" i="340"/>
  <c r="S12" i="340" s="1"/>
  <c r="K12" i="340"/>
  <c r="AA11" i="340"/>
  <c r="U11" i="340"/>
  <c r="T11" i="340"/>
  <c r="Q11" i="340"/>
  <c r="S11" i="340" s="1"/>
  <c r="K11" i="340"/>
  <c r="AB10" i="340"/>
  <c r="U10" i="340"/>
  <c r="T10" i="340"/>
  <c r="Q10" i="340"/>
  <c r="S10" i="340" s="1"/>
  <c r="K10" i="340"/>
  <c r="AA9" i="340"/>
  <c r="U9" i="340"/>
  <c r="Q9" i="340"/>
  <c r="T9" i="340" s="1"/>
  <c r="K9" i="340"/>
  <c r="U8" i="340"/>
  <c r="T8" i="340"/>
  <c r="Q8" i="340"/>
  <c r="K8" i="340"/>
  <c r="AD7" i="340"/>
  <c r="Z7" i="340"/>
  <c r="U7" i="340"/>
  <c r="Q7" i="340"/>
  <c r="S7" i="340" s="1"/>
  <c r="AA42" i="340"/>
  <c r="Z6" i="340"/>
  <c r="U6" i="340"/>
  <c r="T6" i="340"/>
  <c r="Q6" i="340"/>
  <c r="S6" i="340" s="1"/>
  <c r="K6" i="340"/>
  <c r="U5" i="340"/>
  <c r="S5" i="340"/>
  <c r="Q5" i="340"/>
  <c r="T5" i="340" s="1"/>
  <c r="K5" i="340"/>
  <c r="U4" i="340"/>
  <c r="S4" i="340"/>
  <c r="Q4" i="340"/>
  <c r="T4" i="340" s="1"/>
  <c r="K4" i="340"/>
  <c r="AE3" i="340"/>
  <c r="U3" i="340"/>
  <c r="S3" i="340"/>
  <c r="Q3" i="340"/>
  <c r="T3" i="340" s="1"/>
  <c r="K3" i="340"/>
  <c r="U2" i="340"/>
  <c r="T2" i="340"/>
  <c r="Q2" i="340"/>
  <c r="S2" i="340" s="1"/>
  <c r="K2" i="340"/>
  <c r="X53" i="346" l="1"/>
  <c r="W54" i="346"/>
  <c r="X54" i="345"/>
  <c r="W55" i="345"/>
  <c r="W54" i="344"/>
  <c r="X53" i="344"/>
  <c r="W51" i="343"/>
  <c r="W52" i="343" s="1"/>
  <c r="W53" i="343" s="1"/>
  <c r="X50" i="343"/>
  <c r="X49" i="342"/>
  <c r="W50" i="342"/>
  <c r="AE5" i="341"/>
  <c r="Z61" i="341"/>
  <c r="AB17" i="341" s="1"/>
  <c r="AD58" i="341"/>
  <c r="AF5" i="341"/>
  <c r="W4" i="341"/>
  <c r="X3" i="341"/>
  <c r="AD78" i="341"/>
  <c r="AE80" i="341"/>
  <c r="AF80" i="341" s="1"/>
  <c r="X2" i="341"/>
  <c r="AG5" i="341"/>
  <c r="AD59" i="341"/>
  <c r="AF59" i="341" s="1"/>
  <c r="AB79" i="341"/>
  <c r="AD79" i="341" s="1"/>
  <c r="AK76" i="341" s="1"/>
  <c r="AL76" i="341" s="1"/>
  <c r="Z62" i="341"/>
  <c r="Z5" i="341"/>
  <c r="V98" i="340"/>
  <c r="V39" i="340"/>
  <c r="V61" i="340"/>
  <c r="V79" i="340"/>
  <c r="V81" i="340"/>
  <c r="AC44" i="340"/>
  <c r="V16" i="340"/>
  <c r="V21" i="340"/>
  <c r="V95" i="340"/>
  <c r="V103" i="340"/>
  <c r="V38" i="340"/>
  <c r="V63" i="340"/>
  <c r="V75" i="340"/>
  <c r="N81" i="340"/>
  <c r="O82" i="340" s="1"/>
  <c r="V49" i="340"/>
  <c r="N27" i="340"/>
  <c r="O56" i="340" s="1"/>
  <c r="V30" i="340"/>
  <c r="V31" i="340"/>
  <c r="V42" i="340"/>
  <c r="AC43" i="340"/>
  <c r="V44" i="340"/>
  <c r="V77" i="340"/>
  <c r="N94" i="340"/>
  <c r="O95" i="340" s="1"/>
  <c r="V99" i="340"/>
  <c r="V34" i="340"/>
  <c r="V37" i="340"/>
  <c r="V46" i="340"/>
  <c r="V48" i="340"/>
  <c r="V50" i="340"/>
  <c r="V69" i="340"/>
  <c r="V78" i="340"/>
  <c r="V84" i="340"/>
  <c r="X84" i="340" s="1"/>
  <c r="V88" i="340"/>
  <c r="V90" i="340"/>
  <c r="V97" i="340"/>
  <c r="V102" i="340"/>
  <c r="V32" i="340"/>
  <c r="V60" i="340"/>
  <c r="V23" i="340"/>
  <c r="AD34" i="340"/>
  <c r="V53" i="340"/>
  <c r="V57" i="340"/>
  <c r="V58" i="340"/>
  <c r="V71" i="340"/>
  <c r="V74" i="340"/>
  <c r="V82" i="340"/>
  <c r="V86" i="340"/>
  <c r="V91" i="340"/>
  <c r="V100" i="340"/>
  <c r="V59" i="340"/>
  <c r="V35" i="340"/>
  <c r="V36" i="340"/>
  <c r="V40" i="340"/>
  <c r="V43" i="340"/>
  <c r="R50" i="340"/>
  <c r="V62" i="340"/>
  <c r="V64" i="340"/>
  <c r="V65" i="340"/>
  <c r="V94" i="340"/>
  <c r="R52" i="340"/>
  <c r="V55" i="340"/>
  <c r="V51" i="340"/>
  <c r="V54" i="340"/>
  <c r="V22" i="340"/>
  <c r="V28" i="340"/>
  <c r="T17" i="340"/>
  <c r="V17" i="340" s="1"/>
  <c r="V19" i="340"/>
  <c r="V6" i="340"/>
  <c r="V13" i="340"/>
  <c r="V3" i="340"/>
  <c r="V12" i="340"/>
  <c r="V15" i="340"/>
  <c r="V27" i="340"/>
  <c r="V10" i="340"/>
  <c r="S9" i="340"/>
  <c r="V9" i="340" s="1"/>
  <c r="V11" i="340"/>
  <c r="V20" i="340"/>
  <c r="V25" i="340"/>
  <c r="V4" i="340"/>
  <c r="V24" i="340"/>
  <c r="AC80" i="340"/>
  <c r="AA15" i="340"/>
  <c r="Z16" i="340"/>
  <c r="AA16" i="340" s="1"/>
  <c r="V5" i="340"/>
  <c r="AB102" i="340"/>
  <c r="AA36" i="340"/>
  <c r="AB36" i="340" s="1"/>
  <c r="N56" i="340"/>
  <c r="O77" i="340" s="1"/>
  <c r="S8" i="340"/>
  <c r="V8" i="340" s="1"/>
  <c r="Q105" i="340"/>
  <c r="I105" i="340"/>
  <c r="AA92" i="340"/>
  <c r="AB42" i="340"/>
  <c r="AC42" i="340" s="1"/>
  <c r="T7" i="340"/>
  <c r="K7" i="340"/>
  <c r="K105" i="340" s="1"/>
  <c r="K108" i="340" s="1"/>
  <c r="K110" i="340" s="1"/>
  <c r="AB99" i="340"/>
  <c r="V18" i="340"/>
  <c r="AB98" i="340"/>
  <c r="O83" i="340"/>
  <c r="AC58" i="340"/>
  <c r="AC61" i="340"/>
  <c r="AA69" i="340" s="1"/>
  <c r="V14" i="340"/>
  <c r="V26" i="340"/>
  <c r="AB100" i="340"/>
  <c r="V33" i="340"/>
  <c r="AC78" i="340"/>
  <c r="AC81" i="340" s="1"/>
  <c r="AA62" i="340"/>
  <c r="AA61" i="340"/>
  <c r="V66" i="340"/>
  <c r="V87" i="340"/>
  <c r="N85" i="340"/>
  <c r="O93" i="340" s="1"/>
  <c r="O103" i="340"/>
  <c r="U105" i="340"/>
  <c r="AD4" i="340" s="1"/>
  <c r="AK79" i="340"/>
  <c r="AA10" i="340"/>
  <c r="V2" i="340"/>
  <c r="Z14" i="340"/>
  <c r="V29" i="340"/>
  <c r="Z37" i="340"/>
  <c r="AB62" i="340"/>
  <c r="AB61" i="340"/>
  <c r="R51" i="340"/>
  <c r="V68" i="340"/>
  <c r="V72" i="340"/>
  <c r="V73" i="340"/>
  <c r="AB93" i="340"/>
  <c r="V41" i="340"/>
  <c r="V45" i="340"/>
  <c r="V52" i="340"/>
  <c r="V67" i="340"/>
  <c r="V80" i="340"/>
  <c r="V89" i="340"/>
  <c r="AC35" i="340"/>
  <c r="V47" i="340"/>
  <c r="N50" i="340"/>
  <c r="R54" i="340"/>
  <c r="V76" i="340"/>
  <c r="V85" i="340"/>
  <c r="V92" i="340"/>
  <c r="V93" i="340"/>
  <c r="V96" i="340"/>
  <c r="V101" i="340"/>
  <c r="V56" i="340"/>
  <c r="V70" i="340"/>
  <c r="V83" i="340"/>
  <c r="AE62" i="326"/>
  <c r="W55" i="346" l="1"/>
  <c r="X54" i="346"/>
  <c r="X55" i="345"/>
  <c r="W56" i="345"/>
  <c r="W55" i="344"/>
  <c r="X54" i="344"/>
  <c r="W54" i="343"/>
  <c r="X53" i="343"/>
  <c r="W51" i="342"/>
  <c r="W52" i="342" s="1"/>
  <c r="W53" i="342" s="1"/>
  <c r="X50" i="342"/>
  <c r="AE78" i="341"/>
  <c r="AF78" i="341" s="1"/>
  <c r="AF58" i="341"/>
  <c r="AD62" i="341"/>
  <c r="AE79" i="341"/>
  <c r="AF79" i="341" s="1"/>
  <c r="W5" i="341"/>
  <c r="X4" i="341"/>
  <c r="AK75" i="341"/>
  <c r="AD81" i="341"/>
  <c r="AD61" i="341"/>
  <c r="AB81" i="341"/>
  <c r="O59" i="340"/>
  <c r="O50" i="340"/>
  <c r="O46" i="340"/>
  <c r="O101" i="340"/>
  <c r="O94" i="340"/>
  <c r="O84" i="340"/>
  <c r="AB95" i="340"/>
  <c r="O98" i="340"/>
  <c r="O97" i="340"/>
  <c r="O96" i="340"/>
  <c r="O81" i="340"/>
  <c r="O100" i="340"/>
  <c r="O36" i="340"/>
  <c r="O102" i="340"/>
  <c r="O99" i="340"/>
  <c r="O71" i="340"/>
  <c r="O44" i="340"/>
  <c r="O43" i="340"/>
  <c r="O53" i="340"/>
  <c r="O31" i="340"/>
  <c r="O62" i="340"/>
  <c r="O41" i="340"/>
  <c r="O30" i="340"/>
  <c r="O33" i="340"/>
  <c r="O42" i="340"/>
  <c r="O45" i="340"/>
  <c r="O86" i="340"/>
  <c r="O38" i="340"/>
  <c r="O37" i="340"/>
  <c r="O55" i="340"/>
  <c r="O34" i="340"/>
  <c r="O39" i="340"/>
  <c r="O47" i="340"/>
  <c r="O35" i="340"/>
  <c r="O54" i="340"/>
  <c r="O49" i="340"/>
  <c r="O32" i="340"/>
  <c r="T105" i="340"/>
  <c r="AB4" i="340" s="1"/>
  <c r="Z58" i="340" s="1"/>
  <c r="AD35" i="340"/>
  <c r="AD36" i="340"/>
  <c r="AE36" i="340" s="1"/>
  <c r="O92" i="340"/>
  <c r="AE34" i="340"/>
  <c r="O87" i="340"/>
  <c r="R105" i="340"/>
  <c r="AB97" i="340"/>
  <c r="Z60" i="340"/>
  <c r="AD5" i="340"/>
  <c r="AA34" i="340" s="1"/>
  <c r="AB34" i="340" s="1"/>
  <c r="AA35" i="340"/>
  <c r="O78" i="340"/>
  <c r="AC37" i="340"/>
  <c r="AE35" i="340"/>
  <c r="AA68" i="340"/>
  <c r="N2" i="340"/>
  <c r="V7" i="340"/>
  <c r="V105" i="340" s="1"/>
  <c r="Z13" i="340"/>
  <c r="AA3" i="340"/>
  <c r="Z18" i="340"/>
  <c r="Z24" i="340" s="1"/>
  <c r="W2" i="340" s="1"/>
  <c r="AA4" i="340"/>
  <c r="O90" i="340"/>
  <c r="O85" i="340"/>
  <c r="O89" i="340"/>
  <c r="O88" i="340"/>
  <c r="O64" i="340"/>
  <c r="O70" i="340"/>
  <c r="O69" i="340"/>
  <c r="O58" i="340"/>
  <c r="O76" i="340"/>
  <c r="O72" i="340"/>
  <c r="O80" i="340"/>
  <c r="O74" i="340"/>
  <c r="O73" i="340"/>
  <c r="O68" i="340"/>
  <c r="O60" i="340"/>
  <c r="O57" i="340"/>
  <c r="AB92" i="340"/>
  <c r="O65" i="340"/>
  <c r="O75" i="340"/>
  <c r="O66" i="340"/>
  <c r="O79" i="340"/>
  <c r="S105" i="340"/>
  <c r="AC4" i="340" s="1"/>
  <c r="O91" i="340"/>
  <c r="O63" i="340"/>
  <c r="O61" i="340"/>
  <c r="O67" i="340"/>
  <c r="AA102" i="339"/>
  <c r="AB99" i="339"/>
  <c r="AB94" i="339"/>
  <c r="AA100" i="339"/>
  <c r="AA99" i="339"/>
  <c r="AA98" i="339"/>
  <c r="AA97" i="339"/>
  <c r="AA95" i="339"/>
  <c r="AA94" i="339"/>
  <c r="AA93" i="339"/>
  <c r="AA92" i="339"/>
  <c r="W56" i="346" l="1"/>
  <c r="X55" i="346"/>
  <c r="X56" i="345"/>
  <c r="W57" i="345"/>
  <c r="W58" i="345" s="1"/>
  <c r="W59" i="345" s="1"/>
  <c r="W60" i="345" s="1"/>
  <c r="W61" i="345" s="1"/>
  <c r="W62" i="345" s="1"/>
  <c r="W63" i="345" s="1"/>
  <c r="W64" i="345" s="1"/>
  <c r="W65" i="345" s="1"/>
  <c r="W66" i="345" s="1"/>
  <c r="W67" i="345" s="1"/>
  <c r="W68" i="345" s="1"/>
  <c r="W69" i="345" s="1"/>
  <c r="W70" i="345" s="1"/>
  <c r="W71" i="345" s="1"/>
  <c r="W72" i="345" s="1"/>
  <c r="W73" i="345" s="1"/>
  <c r="W74" i="345" s="1"/>
  <c r="W75" i="345" s="1"/>
  <c r="W76" i="345" s="1"/>
  <c r="W77" i="345" s="1"/>
  <c r="W78" i="345" s="1"/>
  <c r="W79" i="345" s="1"/>
  <c r="W80" i="345" s="1"/>
  <c r="W81" i="345" s="1"/>
  <c r="W82" i="345" s="1"/>
  <c r="W83" i="345" s="1"/>
  <c r="W84" i="345" s="1"/>
  <c r="W85" i="345" s="1"/>
  <c r="W86" i="345" s="1"/>
  <c r="W87" i="345" s="1"/>
  <c r="W88" i="345" s="1"/>
  <c r="W89" i="345" s="1"/>
  <c r="W90" i="345" s="1"/>
  <c r="W91" i="345" s="1"/>
  <c r="W92" i="345" s="1"/>
  <c r="W93" i="345" s="1"/>
  <c r="W94" i="345" s="1"/>
  <c r="W95" i="345" s="1"/>
  <c r="W96" i="345" s="1"/>
  <c r="W97" i="345" s="1"/>
  <c r="W98" i="345" s="1"/>
  <c r="W99" i="345" s="1"/>
  <c r="W100" i="345" s="1"/>
  <c r="W101" i="345" s="1"/>
  <c r="W102" i="345" s="1"/>
  <c r="W103" i="345" s="1"/>
  <c r="W105" i="345" s="1"/>
  <c r="X55" i="344"/>
  <c r="W56" i="344"/>
  <c r="W55" i="343"/>
  <c r="X54" i="343"/>
  <c r="X53" i="342"/>
  <c r="W54" i="342"/>
  <c r="AF81" i="341"/>
  <c r="AL75" i="341"/>
  <c r="AL78" i="341" s="1"/>
  <c r="AK78" i="341"/>
  <c r="AL79" i="341" s="1"/>
  <c r="X5" i="341"/>
  <c r="W6" i="341"/>
  <c r="AE81" i="341"/>
  <c r="AE37" i="340"/>
  <c r="AB5" i="340"/>
  <c r="AE4" i="340"/>
  <c r="AF4" i="340" s="1"/>
  <c r="AD37" i="340"/>
  <c r="W3" i="340"/>
  <c r="N105" i="340"/>
  <c r="O8" i="340"/>
  <c r="O25" i="340"/>
  <c r="O24" i="340"/>
  <c r="O15" i="340"/>
  <c r="O27" i="340"/>
  <c r="O2" i="340"/>
  <c r="O14" i="340"/>
  <c r="O9" i="340"/>
  <c r="O16" i="340"/>
  <c r="O5" i="340"/>
  <c r="O29" i="340"/>
  <c r="O17" i="340"/>
  <c r="O6" i="340"/>
  <c r="O11" i="340"/>
  <c r="O22" i="340"/>
  <c r="O3" i="340"/>
  <c r="O10" i="340"/>
  <c r="O26" i="340"/>
  <c r="O20" i="340"/>
  <c r="O12" i="340"/>
  <c r="O19" i="340"/>
  <c r="O13" i="340"/>
  <c r="O4" i="340"/>
  <c r="O28" i="340"/>
  <c r="AA37" i="340"/>
  <c r="AB37" i="340" s="1"/>
  <c r="AB35" i="340"/>
  <c r="Z4" i="340"/>
  <c r="Z3" i="340"/>
  <c r="AB80" i="340"/>
  <c r="AD80" i="340" s="1"/>
  <c r="AK77" i="340" s="1"/>
  <c r="AL77" i="340" s="1"/>
  <c r="Z53" i="340"/>
  <c r="AD60" i="340"/>
  <c r="AE80" i="340" s="1"/>
  <c r="L2" i="340"/>
  <c r="L3" i="340" s="1"/>
  <c r="L4" i="340" s="1"/>
  <c r="L5" i="340" s="1"/>
  <c r="L6" i="340" s="1"/>
  <c r="L7" i="340" s="1"/>
  <c r="L8" i="340" s="1"/>
  <c r="L9" i="340" s="1"/>
  <c r="L10" i="340" s="1"/>
  <c r="L11" i="340" s="1"/>
  <c r="L12" i="340" s="1"/>
  <c r="L13" i="340" s="1"/>
  <c r="L14" i="340" s="1"/>
  <c r="L15" i="340" s="1"/>
  <c r="L16" i="340" s="1"/>
  <c r="L17" i="340" s="1"/>
  <c r="L18" i="340" s="1"/>
  <c r="L19" i="340" s="1"/>
  <c r="L20" i="340" s="1"/>
  <c r="L21" i="340" s="1"/>
  <c r="L22" i="340" s="1"/>
  <c r="L23" i="340" s="1"/>
  <c r="L24" i="340" s="1"/>
  <c r="L25" i="340" s="1"/>
  <c r="L26" i="340" s="1"/>
  <c r="L27" i="340" s="1"/>
  <c r="L28" i="340" s="1"/>
  <c r="L29" i="340" s="1"/>
  <c r="L30" i="340" s="1"/>
  <c r="L31" i="340" s="1"/>
  <c r="L32" i="340" s="1"/>
  <c r="L33" i="340" s="1"/>
  <c r="L34" i="340" s="1"/>
  <c r="L35" i="340" s="1"/>
  <c r="L36" i="340" s="1"/>
  <c r="L37" i="340" s="1"/>
  <c r="L38" i="340" s="1"/>
  <c r="L39" i="340" s="1"/>
  <c r="L40" i="340" s="1"/>
  <c r="L41" i="340" s="1"/>
  <c r="L42" i="340" s="1"/>
  <c r="L43" i="340" s="1"/>
  <c r="L44" i="340" s="1"/>
  <c r="L45" i="340" s="1"/>
  <c r="L46" i="340" s="1"/>
  <c r="L47" i="340" s="1"/>
  <c r="L48" i="340" s="1"/>
  <c r="L49" i="340" s="1"/>
  <c r="L50" i="340" s="1"/>
  <c r="L51" i="340" s="1"/>
  <c r="L52" i="340" s="1"/>
  <c r="L53" i="340" s="1"/>
  <c r="L54" i="340" s="1"/>
  <c r="L55" i="340" s="1"/>
  <c r="L56" i="340" s="1"/>
  <c r="L57" i="340" s="1"/>
  <c r="L58" i="340" s="1"/>
  <c r="L59" i="340" s="1"/>
  <c r="L60" i="340" s="1"/>
  <c r="L61" i="340" s="1"/>
  <c r="L62" i="340" s="1"/>
  <c r="L63" i="340" s="1"/>
  <c r="L64" i="340" s="1"/>
  <c r="L65" i="340" s="1"/>
  <c r="L66" i="340" s="1"/>
  <c r="L67" i="340" s="1"/>
  <c r="L68" i="340" s="1"/>
  <c r="L69" i="340" s="1"/>
  <c r="L70" i="340" s="1"/>
  <c r="L71" i="340" s="1"/>
  <c r="L72" i="340" s="1"/>
  <c r="L73" i="340" s="1"/>
  <c r="L74" i="340" s="1"/>
  <c r="L75" i="340" s="1"/>
  <c r="L76" i="340" s="1"/>
  <c r="L77" i="340" s="1"/>
  <c r="L78" i="340" s="1"/>
  <c r="L79" i="340" s="1"/>
  <c r="L80" i="340" s="1"/>
  <c r="L81" i="340" s="1"/>
  <c r="L82" i="340" s="1"/>
  <c r="L83" i="340" s="1"/>
  <c r="L84" i="340" s="1"/>
  <c r="L85" i="340" s="1"/>
  <c r="L86" i="340" s="1"/>
  <c r="L87" i="340" s="1"/>
  <c r="L88" i="340" s="1"/>
  <c r="L89" i="340" s="1"/>
  <c r="L90" i="340" s="1"/>
  <c r="L91" i="340" s="1"/>
  <c r="L92" i="340" s="1"/>
  <c r="L93" i="340" s="1"/>
  <c r="L94" i="340" s="1"/>
  <c r="L95" i="340" s="1"/>
  <c r="L96" i="340" s="1"/>
  <c r="L97" i="340" s="1"/>
  <c r="L98" i="340" s="1"/>
  <c r="L99" i="340" s="1"/>
  <c r="L100" i="340" s="1"/>
  <c r="L101" i="340" s="1"/>
  <c r="L102" i="340" s="1"/>
  <c r="L103" i="340" s="1"/>
  <c r="L105" i="340" s="1"/>
  <c r="AG4" i="340"/>
  <c r="Z59" i="340"/>
  <c r="AC5" i="340"/>
  <c r="AF3" i="340"/>
  <c r="AG3" i="340"/>
  <c r="AA5" i="340"/>
  <c r="O7" i="340"/>
  <c r="AB78" i="340"/>
  <c r="AD58" i="340"/>
  <c r="Z62" i="340"/>
  <c r="Z9" i="339"/>
  <c r="X56" i="346" l="1"/>
  <c r="W57" i="346"/>
  <c r="W58" i="346" s="1"/>
  <c r="W59" i="346" s="1"/>
  <c r="W60" i="346" s="1"/>
  <c r="W61" i="346" s="1"/>
  <c r="W62" i="346" s="1"/>
  <c r="W63" i="346" s="1"/>
  <c r="W64" i="346" s="1"/>
  <c r="W65" i="346" s="1"/>
  <c r="W66" i="346" s="1"/>
  <c r="W67" i="346" s="1"/>
  <c r="W68" i="346" s="1"/>
  <c r="W69" i="346" s="1"/>
  <c r="W70" i="346" s="1"/>
  <c r="W71" i="346" s="1"/>
  <c r="W72" i="346" s="1"/>
  <c r="W73" i="346" s="1"/>
  <c r="W74" i="346" s="1"/>
  <c r="W75" i="346" s="1"/>
  <c r="W76" i="346" s="1"/>
  <c r="W77" i="346" s="1"/>
  <c r="W78" i="346" s="1"/>
  <c r="W79" i="346" s="1"/>
  <c r="W80" i="346" s="1"/>
  <c r="W81" i="346" s="1"/>
  <c r="W82" i="346" s="1"/>
  <c r="W83" i="346" s="1"/>
  <c r="W84" i="346" s="1"/>
  <c r="W85" i="346" s="1"/>
  <c r="W86" i="346" s="1"/>
  <c r="W87" i="346" s="1"/>
  <c r="W88" i="346" s="1"/>
  <c r="W89" i="346" s="1"/>
  <c r="W90" i="346" s="1"/>
  <c r="W91" i="346" s="1"/>
  <c r="W92" i="346" s="1"/>
  <c r="W93" i="346" s="1"/>
  <c r="W94" i="346" s="1"/>
  <c r="W95" i="346" s="1"/>
  <c r="W96" i="346" s="1"/>
  <c r="W97" i="346" s="1"/>
  <c r="W98" i="346" s="1"/>
  <c r="W99" i="346" s="1"/>
  <c r="W100" i="346" s="1"/>
  <c r="W101" i="346" s="1"/>
  <c r="W102" i="346" s="1"/>
  <c r="W103" i="346" s="1"/>
  <c r="W105" i="346" s="1"/>
  <c r="X56" i="344"/>
  <c r="W57" i="344"/>
  <c r="W58" i="344" s="1"/>
  <c r="W59" i="344" s="1"/>
  <c r="W60" i="344" s="1"/>
  <c r="W61" i="344" s="1"/>
  <c r="W62" i="344" s="1"/>
  <c r="W63" i="344" s="1"/>
  <c r="W64" i="344" s="1"/>
  <c r="W65" i="344" s="1"/>
  <c r="W66" i="344" s="1"/>
  <c r="W67" i="344" s="1"/>
  <c r="W68" i="344" s="1"/>
  <c r="W69" i="344" s="1"/>
  <c r="W70" i="344" s="1"/>
  <c r="W71" i="344" s="1"/>
  <c r="W72" i="344" s="1"/>
  <c r="W73" i="344" s="1"/>
  <c r="W74" i="344" s="1"/>
  <c r="W75" i="344" s="1"/>
  <c r="W76" i="344" s="1"/>
  <c r="W77" i="344" s="1"/>
  <c r="W78" i="344" s="1"/>
  <c r="W79" i="344" s="1"/>
  <c r="W80" i="344" s="1"/>
  <c r="W81" i="344" s="1"/>
  <c r="W82" i="344" s="1"/>
  <c r="W83" i="344" s="1"/>
  <c r="W84" i="344" s="1"/>
  <c r="W85" i="344" s="1"/>
  <c r="W86" i="344" s="1"/>
  <c r="W87" i="344" s="1"/>
  <c r="W88" i="344" s="1"/>
  <c r="W89" i="344" s="1"/>
  <c r="W90" i="344" s="1"/>
  <c r="W91" i="344" s="1"/>
  <c r="W92" i="344" s="1"/>
  <c r="W93" i="344" s="1"/>
  <c r="W94" i="344" s="1"/>
  <c r="W95" i="344" s="1"/>
  <c r="W96" i="344" s="1"/>
  <c r="W97" i="344" s="1"/>
  <c r="W98" i="344" s="1"/>
  <c r="W99" i="344" s="1"/>
  <c r="W100" i="344" s="1"/>
  <c r="W101" i="344" s="1"/>
  <c r="W102" i="344" s="1"/>
  <c r="W103" i="344" s="1"/>
  <c r="W105" i="344" s="1"/>
  <c r="W56" i="343"/>
  <c r="X55" i="343"/>
  <c r="X54" i="342"/>
  <c r="W55" i="342"/>
  <c r="W7" i="341"/>
  <c r="X6" i="341"/>
  <c r="AE5" i="340"/>
  <c r="AG5" i="340"/>
  <c r="AF80" i="340"/>
  <c r="Z5" i="340"/>
  <c r="AE78" i="340"/>
  <c r="AB79" i="340"/>
  <c r="AD79" i="340" s="1"/>
  <c r="AK76" i="340" s="1"/>
  <c r="AL76" i="340" s="1"/>
  <c r="AD59" i="340"/>
  <c r="AE79" i="340" s="1"/>
  <c r="AD78" i="340"/>
  <c r="X3" i="340"/>
  <c r="W4" i="340"/>
  <c r="Z61" i="340"/>
  <c r="AB17" i="340" s="1"/>
  <c r="AF5" i="340"/>
  <c r="X2" i="340"/>
  <c r="AD7" i="339"/>
  <c r="I113" i="339"/>
  <c r="U123" i="339"/>
  <c r="P105" i="339"/>
  <c r="M105" i="339"/>
  <c r="J105" i="339"/>
  <c r="U103" i="339"/>
  <c r="T103" i="339"/>
  <c r="S103" i="339"/>
  <c r="Q103" i="339"/>
  <c r="K103" i="339"/>
  <c r="U102" i="339"/>
  <c r="T102" i="339"/>
  <c r="S102" i="339"/>
  <c r="Q102" i="339"/>
  <c r="K102" i="339"/>
  <c r="U101" i="339"/>
  <c r="T101" i="339"/>
  <c r="S101" i="339"/>
  <c r="Q101" i="339"/>
  <c r="K101" i="339"/>
  <c r="U100" i="339"/>
  <c r="T100" i="339"/>
  <c r="S100" i="339"/>
  <c r="Q100" i="339"/>
  <c r="K100" i="339"/>
  <c r="U99" i="339"/>
  <c r="T99" i="339"/>
  <c r="S99" i="339"/>
  <c r="Q99" i="339"/>
  <c r="K99" i="339"/>
  <c r="U98" i="339"/>
  <c r="T98" i="339"/>
  <c r="S98" i="339"/>
  <c r="Q98" i="339"/>
  <c r="K98" i="339"/>
  <c r="U97" i="339"/>
  <c r="T97" i="339"/>
  <c r="S97" i="339"/>
  <c r="Q97" i="339"/>
  <c r="K97" i="339"/>
  <c r="U96" i="339"/>
  <c r="T96" i="339"/>
  <c r="S96" i="339"/>
  <c r="Q96" i="339"/>
  <c r="K96" i="339"/>
  <c r="U95" i="339"/>
  <c r="T95" i="339"/>
  <c r="S95" i="339"/>
  <c r="Q95" i="339"/>
  <c r="K95" i="339"/>
  <c r="U94" i="339"/>
  <c r="T94" i="339"/>
  <c r="S94" i="339"/>
  <c r="Q94" i="339"/>
  <c r="K94" i="339"/>
  <c r="U93" i="339"/>
  <c r="T93" i="339"/>
  <c r="S93" i="339"/>
  <c r="Q93" i="339"/>
  <c r="K93" i="339"/>
  <c r="U92" i="339"/>
  <c r="T92" i="339"/>
  <c r="S92" i="339"/>
  <c r="Q92" i="339"/>
  <c r="K92" i="339"/>
  <c r="U91" i="339"/>
  <c r="T91" i="339"/>
  <c r="S91" i="339"/>
  <c r="Q91" i="339"/>
  <c r="K91" i="339"/>
  <c r="U90" i="339"/>
  <c r="T90" i="339"/>
  <c r="S90" i="339"/>
  <c r="Q90" i="339"/>
  <c r="K90" i="339"/>
  <c r="U89" i="339"/>
  <c r="T89" i="339"/>
  <c r="S89" i="339"/>
  <c r="Q89" i="339"/>
  <c r="K89" i="339"/>
  <c r="U88" i="339"/>
  <c r="T88" i="339"/>
  <c r="S88" i="339"/>
  <c r="Q88" i="339"/>
  <c r="K88" i="339"/>
  <c r="AE87" i="339"/>
  <c r="AA87" i="339"/>
  <c r="Y87" i="339"/>
  <c r="U87" i="339"/>
  <c r="T87" i="339"/>
  <c r="S87" i="339"/>
  <c r="Q87" i="339"/>
  <c r="K87" i="339"/>
  <c r="AF86" i="339"/>
  <c r="AG86" i="339" s="1"/>
  <c r="AH86" i="339" s="1"/>
  <c r="AH87" i="339" s="1"/>
  <c r="AH88" i="339" s="1"/>
  <c r="U86" i="339"/>
  <c r="T86" i="339"/>
  <c r="S86" i="339"/>
  <c r="Q86" i="339"/>
  <c r="K86" i="339"/>
  <c r="U85" i="339"/>
  <c r="T85" i="339"/>
  <c r="S85" i="339"/>
  <c r="Q85" i="339"/>
  <c r="K85" i="339"/>
  <c r="U84" i="339"/>
  <c r="T84" i="339"/>
  <c r="S84" i="339"/>
  <c r="Q84" i="339"/>
  <c r="K84" i="339"/>
  <c r="U83" i="339"/>
  <c r="T83" i="339"/>
  <c r="S83" i="339"/>
  <c r="Q83" i="339"/>
  <c r="K83" i="339"/>
  <c r="U82" i="339"/>
  <c r="T82" i="339"/>
  <c r="S82" i="339"/>
  <c r="Q82" i="339"/>
  <c r="K82" i="339"/>
  <c r="AA81" i="339"/>
  <c r="AA86" i="339" s="1"/>
  <c r="AB86" i="339" s="1"/>
  <c r="AC86" i="339" s="1"/>
  <c r="AD86" i="339" s="1"/>
  <c r="AD87" i="339" s="1"/>
  <c r="AD88" i="339" s="1"/>
  <c r="Z81" i="339"/>
  <c r="U81" i="339"/>
  <c r="T81" i="339"/>
  <c r="S81" i="339"/>
  <c r="Q81" i="339"/>
  <c r="K81" i="339"/>
  <c r="AI80" i="339"/>
  <c r="U80" i="339"/>
  <c r="T80" i="339"/>
  <c r="S80" i="339"/>
  <c r="Q80" i="339"/>
  <c r="K80" i="339"/>
  <c r="AI79" i="339"/>
  <c r="U79" i="339"/>
  <c r="T79" i="339"/>
  <c r="S79" i="339"/>
  <c r="Q79" i="339"/>
  <c r="K79" i="339"/>
  <c r="AI78" i="339"/>
  <c r="U78" i="339"/>
  <c r="T78" i="339"/>
  <c r="S78" i="339"/>
  <c r="Q78" i="339"/>
  <c r="K78" i="339"/>
  <c r="U77" i="339"/>
  <c r="T77" i="339"/>
  <c r="S77" i="339"/>
  <c r="Q77" i="339"/>
  <c r="K77" i="339"/>
  <c r="U76" i="339"/>
  <c r="T76" i="339"/>
  <c r="S76" i="339"/>
  <c r="Q76" i="339"/>
  <c r="K76" i="339"/>
  <c r="U75" i="339"/>
  <c r="T75" i="339"/>
  <c r="S75" i="339"/>
  <c r="Q75" i="339"/>
  <c r="K75" i="339"/>
  <c r="U74" i="339"/>
  <c r="T74" i="339"/>
  <c r="S74" i="339"/>
  <c r="Q74" i="339"/>
  <c r="K74" i="339"/>
  <c r="AD73" i="339"/>
  <c r="Z73" i="339"/>
  <c r="U73" i="339"/>
  <c r="T73" i="339"/>
  <c r="S73" i="339"/>
  <c r="Q73" i="339"/>
  <c r="K73" i="339"/>
  <c r="Z72" i="339"/>
  <c r="U72" i="339"/>
  <c r="T72" i="339"/>
  <c r="S72" i="339"/>
  <c r="Q72" i="339"/>
  <c r="K72" i="339"/>
  <c r="U71" i="339"/>
  <c r="T71" i="339"/>
  <c r="S71" i="339"/>
  <c r="Q71" i="339"/>
  <c r="K71" i="339"/>
  <c r="U70" i="339"/>
  <c r="T70" i="339"/>
  <c r="S70" i="339"/>
  <c r="Q70" i="339"/>
  <c r="K70" i="339"/>
  <c r="U69" i="339"/>
  <c r="T69" i="339"/>
  <c r="S69" i="339"/>
  <c r="Q69" i="339"/>
  <c r="K69" i="339"/>
  <c r="U68" i="339"/>
  <c r="T68" i="339"/>
  <c r="S68" i="339"/>
  <c r="Q68" i="339"/>
  <c r="K68" i="339"/>
  <c r="AA67" i="339"/>
  <c r="U67" i="339"/>
  <c r="T67" i="339"/>
  <c r="S67" i="339"/>
  <c r="Q67" i="339"/>
  <c r="K67" i="339"/>
  <c r="U66" i="339"/>
  <c r="T66" i="339"/>
  <c r="S66" i="339"/>
  <c r="Q66" i="339"/>
  <c r="K66" i="339"/>
  <c r="U65" i="339"/>
  <c r="T65" i="339"/>
  <c r="S65" i="339"/>
  <c r="Q65" i="339"/>
  <c r="K65" i="339"/>
  <c r="U64" i="339"/>
  <c r="T64" i="339"/>
  <c r="S64" i="339"/>
  <c r="Q64" i="339"/>
  <c r="K64" i="339"/>
  <c r="U63" i="339"/>
  <c r="T63" i="339"/>
  <c r="S63" i="339"/>
  <c r="Q63" i="339"/>
  <c r="K63" i="339"/>
  <c r="AC62" i="339"/>
  <c r="U62" i="339"/>
  <c r="T62" i="339"/>
  <c r="S62" i="339"/>
  <c r="Q62" i="339"/>
  <c r="K62" i="339"/>
  <c r="U61" i="339"/>
  <c r="T61" i="339"/>
  <c r="S61" i="339"/>
  <c r="Q61" i="339"/>
  <c r="K61" i="339"/>
  <c r="U60" i="339"/>
  <c r="T60" i="339"/>
  <c r="S60" i="339"/>
  <c r="Q60" i="339"/>
  <c r="K60" i="339"/>
  <c r="AB59" i="339"/>
  <c r="AA59" i="339"/>
  <c r="AC79" i="339" s="1"/>
  <c r="U59" i="339"/>
  <c r="T59" i="339"/>
  <c r="S59" i="339"/>
  <c r="Q59" i="339"/>
  <c r="K59" i="339"/>
  <c r="AB58" i="339"/>
  <c r="U58" i="339"/>
  <c r="T58" i="339"/>
  <c r="S58" i="339"/>
  <c r="Q58" i="339"/>
  <c r="K58" i="339"/>
  <c r="U57" i="339"/>
  <c r="T57" i="339"/>
  <c r="S57" i="339"/>
  <c r="Q57" i="339"/>
  <c r="K57" i="339"/>
  <c r="U56" i="339"/>
  <c r="T56" i="339"/>
  <c r="S56" i="339"/>
  <c r="Q56" i="339"/>
  <c r="K56" i="339"/>
  <c r="Y55" i="339"/>
  <c r="U55" i="339"/>
  <c r="S55" i="339"/>
  <c r="Q55" i="339"/>
  <c r="T55" i="339" s="1"/>
  <c r="K55" i="339"/>
  <c r="U54" i="339"/>
  <c r="T54" i="339"/>
  <c r="S54" i="339"/>
  <c r="Q54" i="339"/>
  <c r="K54" i="339"/>
  <c r="Y53" i="339"/>
  <c r="U53" i="339"/>
  <c r="T53" i="339"/>
  <c r="Q53" i="339"/>
  <c r="S53" i="339" s="1"/>
  <c r="K53" i="339"/>
  <c r="U52" i="339"/>
  <c r="T52" i="339"/>
  <c r="S52" i="339"/>
  <c r="Q52" i="339"/>
  <c r="K52" i="339"/>
  <c r="Y51" i="339"/>
  <c r="U51" i="339"/>
  <c r="T51" i="339"/>
  <c r="S51" i="339"/>
  <c r="Q51" i="339"/>
  <c r="K51" i="339"/>
  <c r="AB50" i="339"/>
  <c r="U50" i="339"/>
  <c r="T50" i="339"/>
  <c r="S50" i="339"/>
  <c r="Q50" i="339"/>
  <c r="K50" i="339"/>
  <c r="Y49" i="339"/>
  <c r="Z49" i="339" s="1"/>
  <c r="U49" i="339"/>
  <c r="T49" i="339"/>
  <c r="S49" i="339"/>
  <c r="Q49" i="339"/>
  <c r="K49" i="339"/>
  <c r="Y48" i="339"/>
  <c r="Z48" i="339" s="1"/>
  <c r="U48" i="339"/>
  <c r="T48" i="339"/>
  <c r="S48" i="339"/>
  <c r="Q48" i="339"/>
  <c r="K48" i="339"/>
  <c r="U47" i="339"/>
  <c r="T47" i="339"/>
  <c r="S47" i="339"/>
  <c r="Q47" i="339"/>
  <c r="K47" i="339"/>
  <c r="U46" i="339"/>
  <c r="T46" i="339"/>
  <c r="Q46" i="339"/>
  <c r="S46" i="339" s="1"/>
  <c r="K46" i="339"/>
  <c r="AB45" i="339"/>
  <c r="AA45" i="339"/>
  <c r="U45" i="339"/>
  <c r="T45" i="339"/>
  <c r="S45" i="339"/>
  <c r="Q45" i="339"/>
  <c r="K45" i="339"/>
  <c r="AB44" i="339"/>
  <c r="AA44" i="339"/>
  <c r="U44" i="339"/>
  <c r="T44" i="339"/>
  <c r="S44" i="339"/>
  <c r="Q44" i="339"/>
  <c r="K44" i="339"/>
  <c r="AB43" i="339"/>
  <c r="AA43" i="339"/>
  <c r="U43" i="339"/>
  <c r="T43" i="339"/>
  <c r="S43" i="339"/>
  <c r="Q43" i="339"/>
  <c r="K43" i="339"/>
  <c r="U42" i="339"/>
  <c r="T42" i="339"/>
  <c r="S42" i="339"/>
  <c r="Q42" i="339"/>
  <c r="K42" i="339"/>
  <c r="U41" i="339"/>
  <c r="T41" i="339"/>
  <c r="S41" i="339"/>
  <c r="Q41" i="339"/>
  <c r="K41" i="339"/>
  <c r="U40" i="339"/>
  <c r="T40" i="339"/>
  <c r="S40" i="339"/>
  <c r="K40" i="339"/>
  <c r="U39" i="339"/>
  <c r="T39" i="339"/>
  <c r="S39" i="339"/>
  <c r="Q39" i="339"/>
  <c r="K39" i="339"/>
  <c r="U38" i="339"/>
  <c r="T38" i="339"/>
  <c r="Q38" i="339"/>
  <c r="S38" i="339" s="1"/>
  <c r="K38" i="339"/>
  <c r="U37" i="339"/>
  <c r="T37" i="339"/>
  <c r="S37" i="339"/>
  <c r="Q37" i="339"/>
  <c r="K37" i="339"/>
  <c r="Z36" i="339"/>
  <c r="AA36" i="339" s="1"/>
  <c r="AB36" i="339" s="1"/>
  <c r="U36" i="339"/>
  <c r="T36" i="339"/>
  <c r="S36" i="339"/>
  <c r="Q36" i="339"/>
  <c r="K36" i="339"/>
  <c r="Z35" i="339"/>
  <c r="U35" i="339"/>
  <c r="T35" i="339"/>
  <c r="S35" i="339"/>
  <c r="Q35" i="339"/>
  <c r="K35" i="339"/>
  <c r="AC34" i="339"/>
  <c r="AC36" i="339" s="1"/>
  <c r="U34" i="339"/>
  <c r="T34" i="339"/>
  <c r="S34" i="339"/>
  <c r="Q34" i="339"/>
  <c r="K34" i="339"/>
  <c r="U33" i="339"/>
  <c r="T33" i="339"/>
  <c r="S33" i="339"/>
  <c r="Q33" i="339"/>
  <c r="K33" i="339"/>
  <c r="U32" i="339"/>
  <c r="T32" i="339"/>
  <c r="S32" i="339"/>
  <c r="Q32" i="339"/>
  <c r="K32" i="339"/>
  <c r="U31" i="339"/>
  <c r="T31" i="339"/>
  <c r="S31" i="339"/>
  <c r="Q31" i="339"/>
  <c r="K31" i="339"/>
  <c r="Z30" i="339"/>
  <c r="U30" i="339"/>
  <c r="T30" i="339"/>
  <c r="S30" i="339"/>
  <c r="Q30" i="339"/>
  <c r="K30" i="339"/>
  <c r="U29" i="339"/>
  <c r="T29" i="339"/>
  <c r="S29" i="339"/>
  <c r="Q29" i="339"/>
  <c r="K29" i="339"/>
  <c r="U28" i="339"/>
  <c r="T28" i="339"/>
  <c r="S28" i="339"/>
  <c r="Q28" i="339"/>
  <c r="K28" i="339"/>
  <c r="U27" i="339"/>
  <c r="T27" i="339"/>
  <c r="S27" i="339"/>
  <c r="Q27" i="339"/>
  <c r="K27" i="339"/>
  <c r="T26" i="339"/>
  <c r="S26" i="339"/>
  <c r="Q26" i="339"/>
  <c r="U26" i="339" s="1"/>
  <c r="AB102" i="339" s="1"/>
  <c r="K26" i="339"/>
  <c r="U25" i="339"/>
  <c r="T25" i="339"/>
  <c r="Q25" i="339"/>
  <c r="S25" i="339" s="1"/>
  <c r="K25" i="339"/>
  <c r="U24" i="339"/>
  <c r="T24" i="339"/>
  <c r="S24" i="339"/>
  <c r="Q24" i="339"/>
  <c r="K24" i="339"/>
  <c r="U23" i="339"/>
  <c r="T23" i="339"/>
  <c r="S23" i="339"/>
  <c r="Q23" i="339"/>
  <c r="K23" i="339"/>
  <c r="U22" i="339"/>
  <c r="T22" i="339"/>
  <c r="Q22" i="339"/>
  <c r="S22" i="339" s="1"/>
  <c r="K22" i="339"/>
  <c r="U21" i="339"/>
  <c r="T21" i="339"/>
  <c r="S21" i="339"/>
  <c r="Q21" i="339"/>
  <c r="K21" i="339"/>
  <c r="U20" i="339"/>
  <c r="T20" i="339"/>
  <c r="Q20" i="339"/>
  <c r="S20" i="339" s="1"/>
  <c r="K20" i="339"/>
  <c r="U19" i="339"/>
  <c r="T19" i="339"/>
  <c r="AB93" i="339" s="1"/>
  <c r="Q19" i="339"/>
  <c r="S19" i="339" s="1"/>
  <c r="K19" i="339"/>
  <c r="U18" i="339"/>
  <c r="S18" i="339"/>
  <c r="Q18" i="339"/>
  <c r="T18" i="339" s="1"/>
  <c r="K18" i="339"/>
  <c r="U17" i="339"/>
  <c r="Q17" i="339"/>
  <c r="T17" i="339" s="1"/>
  <c r="K17" i="339"/>
  <c r="U16" i="339"/>
  <c r="T16" i="339"/>
  <c r="S16" i="339"/>
  <c r="K16" i="339"/>
  <c r="Z15" i="339"/>
  <c r="U15" i="339"/>
  <c r="T15" i="339"/>
  <c r="Q15" i="339"/>
  <c r="S15" i="339" s="1"/>
  <c r="K15" i="339"/>
  <c r="U14" i="339"/>
  <c r="T14" i="339"/>
  <c r="Q14" i="339"/>
  <c r="S14" i="339" s="1"/>
  <c r="K14" i="339"/>
  <c r="U13" i="339"/>
  <c r="T13" i="339"/>
  <c r="Q13" i="339"/>
  <c r="S13" i="339" s="1"/>
  <c r="K13" i="339"/>
  <c r="AC12" i="339"/>
  <c r="AB12" i="339"/>
  <c r="AA12" i="339"/>
  <c r="U12" i="339"/>
  <c r="T12" i="339"/>
  <c r="Q12" i="339"/>
  <c r="S12" i="339" s="1"/>
  <c r="K12" i="339"/>
  <c r="AA11" i="339"/>
  <c r="U11" i="339"/>
  <c r="T11" i="339"/>
  <c r="Q11" i="339"/>
  <c r="S11" i="339" s="1"/>
  <c r="K11" i="339"/>
  <c r="AB10" i="339"/>
  <c r="AC58" i="339" s="1"/>
  <c r="U10" i="339"/>
  <c r="T10" i="339"/>
  <c r="Q10" i="339"/>
  <c r="S10" i="339" s="1"/>
  <c r="K10" i="339"/>
  <c r="U9" i="339"/>
  <c r="Q9" i="339"/>
  <c r="T9" i="339" s="1"/>
  <c r="K9" i="339"/>
  <c r="U8" i="339"/>
  <c r="T8" i="339"/>
  <c r="Q8" i="339"/>
  <c r="S8" i="339" s="1"/>
  <c r="K8" i="339"/>
  <c r="Z7" i="339"/>
  <c r="U7" i="339"/>
  <c r="Q7" i="339"/>
  <c r="S7" i="339" s="1"/>
  <c r="I7" i="339"/>
  <c r="AB42" i="339" s="1"/>
  <c r="H7" i="339"/>
  <c r="Z6" i="339"/>
  <c r="U6" i="339"/>
  <c r="T6" i="339"/>
  <c r="Q6" i="339"/>
  <c r="S6" i="339" s="1"/>
  <c r="K6" i="339"/>
  <c r="U5" i="339"/>
  <c r="S5" i="339"/>
  <c r="Q5" i="339"/>
  <c r="T5" i="339" s="1"/>
  <c r="K5" i="339"/>
  <c r="U4" i="339"/>
  <c r="S4" i="339"/>
  <c r="Q4" i="339"/>
  <c r="T4" i="339" s="1"/>
  <c r="K4" i="339"/>
  <c r="U3" i="339"/>
  <c r="S3" i="339"/>
  <c r="Q3" i="339"/>
  <c r="T3" i="339" s="1"/>
  <c r="K3" i="339"/>
  <c r="U2" i="339"/>
  <c r="T2" i="339"/>
  <c r="Q2" i="339"/>
  <c r="K2" i="339"/>
  <c r="W57" i="343" l="1"/>
  <c r="W58" i="343" s="1"/>
  <c r="W59" i="343" s="1"/>
  <c r="W60" i="343" s="1"/>
  <c r="W61" i="343" s="1"/>
  <c r="W62" i="343" s="1"/>
  <c r="W63" i="343" s="1"/>
  <c r="W64" i="343" s="1"/>
  <c r="W65" i="343" s="1"/>
  <c r="W66" i="343" s="1"/>
  <c r="W67" i="343" s="1"/>
  <c r="W68" i="343" s="1"/>
  <c r="W69" i="343" s="1"/>
  <c r="W70" i="343" s="1"/>
  <c r="W71" i="343" s="1"/>
  <c r="W72" i="343" s="1"/>
  <c r="W73" i="343" s="1"/>
  <c r="W74" i="343" s="1"/>
  <c r="W75" i="343" s="1"/>
  <c r="W76" i="343" s="1"/>
  <c r="W77" i="343" s="1"/>
  <c r="W78" i="343" s="1"/>
  <c r="W79" i="343" s="1"/>
  <c r="W80" i="343" s="1"/>
  <c r="W81" i="343" s="1"/>
  <c r="W82" i="343" s="1"/>
  <c r="W83" i="343" s="1"/>
  <c r="W84" i="343" s="1"/>
  <c r="W85" i="343" s="1"/>
  <c r="W86" i="343" s="1"/>
  <c r="W87" i="343" s="1"/>
  <c r="W88" i="343" s="1"/>
  <c r="W89" i="343" s="1"/>
  <c r="W90" i="343" s="1"/>
  <c r="W91" i="343" s="1"/>
  <c r="W92" i="343" s="1"/>
  <c r="W93" i="343" s="1"/>
  <c r="W94" i="343" s="1"/>
  <c r="W95" i="343" s="1"/>
  <c r="W96" i="343" s="1"/>
  <c r="W97" i="343" s="1"/>
  <c r="W98" i="343" s="1"/>
  <c r="W99" i="343" s="1"/>
  <c r="W100" i="343" s="1"/>
  <c r="W101" i="343" s="1"/>
  <c r="W102" i="343" s="1"/>
  <c r="W103" i="343" s="1"/>
  <c r="W105" i="343" s="1"/>
  <c r="X56" i="343"/>
  <c r="X55" i="342"/>
  <c r="W56" i="342"/>
  <c r="W8" i="341"/>
  <c r="X7" i="341"/>
  <c r="AB81" i="340"/>
  <c r="AD62" i="340"/>
  <c r="AD81" i="340"/>
  <c r="AK75" i="340"/>
  <c r="AE81" i="340"/>
  <c r="AF78" i="340"/>
  <c r="W5" i="340"/>
  <c r="X4" i="340"/>
  <c r="AF79" i="340"/>
  <c r="AD61" i="340"/>
  <c r="S2" i="339"/>
  <c r="AB97" i="339" s="1"/>
  <c r="AB95" i="339"/>
  <c r="AB98" i="339"/>
  <c r="AC44" i="339"/>
  <c r="V86" i="339"/>
  <c r="V90" i="339"/>
  <c r="V16" i="339"/>
  <c r="V54" i="339"/>
  <c r="V69" i="339"/>
  <c r="V91" i="339"/>
  <c r="V99" i="339"/>
  <c r="Z10" i="339"/>
  <c r="AK79" i="339" s="1"/>
  <c r="V57" i="339"/>
  <c r="AB62" i="339"/>
  <c r="V71" i="339"/>
  <c r="V76" i="339"/>
  <c r="V77" i="339"/>
  <c r="V84" i="339"/>
  <c r="X84" i="339" s="1"/>
  <c r="V88" i="339"/>
  <c r="V97" i="339"/>
  <c r="AC45" i="339"/>
  <c r="N27" i="339"/>
  <c r="O39" i="339" s="1"/>
  <c r="N56" i="339"/>
  <c r="O64" i="339" s="1"/>
  <c r="V81" i="339"/>
  <c r="V67" i="339"/>
  <c r="V78" i="339"/>
  <c r="V87" i="339"/>
  <c r="V95" i="339"/>
  <c r="N94" i="339"/>
  <c r="O102" i="339" s="1"/>
  <c r="V30" i="339"/>
  <c r="V34" i="339"/>
  <c r="V40" i="339"/>
  <c r="V64" i="339"/>
  <c r="V74" i="339"/>
  <c r="AC35" i="339"/>
  <c r="AC37" i="339" s="1"/>
  <c r="V39" i="339"/>
  <c r="V43" i="339"/>
  <c r="V59" i="339"/>
  <c r="V61" i="339"/>
  <c r="V63" i="339"/>
  <c r="V66" i="339"/>
  <c r="V82" i="339"/>
  <c r="V101" i="339"/>
  <c r="V103" i="339"/>
  <c r="V46" i="339"/>
  <c r="V50" i="339"/>
  <c r="R51" i="339"/>
  <c r="V52" i="339"/>
  <c r="V62" i="339"/>
  <c r="V79" i="339"/>
  <c r="V80" i="339"/>
  <c r="V94" i="339"/>
  <c r="V23" i="339"/>
  <c r="Z37" i="339"/>
  <c r="V42" i="339"/>
  <c r="V45" i="339"/>
  <c r="V49" i="339"/>
  <c r="V58" i="339"/>
  <c r="V60" i="339"/>
  <c r="AB61" i="339"/>
  <c r="V65" i="339"/>
  <c r="V72" i="339"/>
  <c r="V73" i="339"/>
  <c r="V85" i="339"/>
  <c r="V92" i="339"/>
  <c r="V98" i="339"/>
  <c r="AE3" i="339"/>
  <c r="V31" i="339"/>
  <c r="V53" i="339"/>
  <c r="V36" i="339"/>
  <c r="V55" i="339"/>
  <c r="V29" i="339"/>
  <c r="V28" i="339"/>
  <c r="V27" i="339"/>
  <c r="V10" i="339"/>
  <c r="V11" i="339"/>
  <c r="V13" i="339"/>
  <c r="V19" i="339"/>
  <c r="V20" i="339"/>
  <c r="V12" i="339"/>
  <c r="V15" i="339"/>
  <c r="V3" i="339"/>
  <c r="V4" i="339"/>
  <c r="V5" i="339"/>
  <c r="V6" i="339"/>
  <c r="V8" i="339"/>
  <c r="V25" i="339"/>
  <c r="S9" i="339"/>
  <c r="V9" i="339" s="1"/>
  <c r="V22" i="339"/>
  <c r="S17" i="339"/>
  <c r="V17" i="339" s="1"/>
  <c r="V24" i="339"/>
  <c r="N50" i="339"/>
  <c r="U105" i="339"/>
  <c r="AD4" i="339" s="1"/>
  <c r="AA58" i="339"/>
  <c r="V14" i="339"/>
  <c r="Z16" i="339"/>
  <c r="AA16" i="339" s="1"/>
  <c r="V26" i="339"/>
  <c r="V33" i="339"/>
  <c r="R50" i="339"/>
  <c r="V51" i="339"/>
  <c r="R52" i="339"/>
  <c r="AA60" i="339"/>
  <c r="AC61" i="339"/>
  <c r="AA69" i="339" s="1"/>
  <c r="I105" i="339"/>
  <c r="T7" i="339"/>
  <c r="T105" i="339" s="1"/>
  <c r="AB4" i="339" s="1"/>
  <c r="K7" i="339"/>
  <c r="AA15" i="339"/>
  <c r="Q105" i="339"/>
  <c r="V2" i="339"/>
  <c r="H105" i="339"/>
  <c r="AA42" i="339"/>
  <c r="AC42" i="339" s="1"/>
  <c r="AA9" i="339"/>
  <c r="V18" i="339"/>
  <c r="V21" i="339"/>
  <c r="V32" i="339"/>
  <c r="V37" i="339"/>
  <c r="V48" i="339"/>
  <c r="AD34" i="339"/>
  <c r="V35" i="339"/>
  <c r="V38" i="339"/>
  <c r="N81" i="339"/>
  <c r="O84" i="339" s="1"/>
  <c r="V41" i="339"/>
  <c r="AC43" i="339"/>
  <c r="R54" i="339"/>
  <c r="V44" i="339"/>
  <c r="V47" i="339"/>
  <c r="V68" i="339"/>
  <c r="V75" i="339"/>
  <c r="V89" i="339"/>
  <c r="V96" i="339"/>
  <c r="V100" i="339"/>
  <c r="V102" i="339"/>
  <c r="V56" i="339"/>
  <c r="V70" i="339"/>
  <c r="V83" i="339"/>
  <c r="N85" i="339"/>
  <c r="O91" i="339" s="1"/>
  <c r="V93" i="339"/>
  <c r="AB3" i="338"/>
  <c r="W57" i="342" l="1"/>
  <c r="W58" i="342" s="1"/>
  <c r="W59" i="342" s="1"/>
  <c r="W60" i="342" s="1"/>
  <c r="W61" i="342" s="1"/>
  <c r="W62" i="342" s="1"/>
  <c r="W63" i="342" s="1"/>
  <c r="W64" i="342" s="1"/>
  <c r="W65" i="342" s="1"/>
  <c r="W66" i="342" s="1"/>
  <c r="W67" i="342" s="1"/>
  <c r="W68" i="342" s="1"/>
  <c r="W69" i="342" s="1"/>
  <c r="W70" i="342" s="1"/>
  <c r="W71" i="342" s="1"/>
  <c r="W72" i="342" s="1"/>
  <c r="W73" i="342" s="1"/>
  <c r="W74" i="342" s="1"/>
  <c r="W75" i="342" s="1"/>
  <c r="W76" i="342" s="1"/>
  <c r="W77" i="342" s="1"/>
  <c r="W78" i="342" s="1"/>
  <c r="W79" i="342" s="1"/>
  <c r="W80" i="342" s="1"/>
  <c r="W81" i="342" s="1"/>
  <c r="W82" i="342" s="1"/>
  <c r="W83" i="342" s="1"/>
  <c r="W84" i="342" s="1"/>
  <c r="W85" i="342" s="1"/>
  <c r="W86" i="342" s="1"/>
  <c r="W87" i="342" s="1"/>
  <c r="W88" i="342" s="1"/>
  <c r="W89" i="342" s="1"/>
  <c r="W90" i="342" s="1"/>
  <c r="W91" i="342" s="1"/>
  <c r="W92" i="342" s="1"/>
  <c r="W93" i="342" s="1"/>
  <c r="W94" i="342" s="1"/>
  <c r="W95" i="342" s="1"/>
  <c r="W96" i="342" s="1"/>
  <c r="W97" i="342" s="1"/>
  <c r="W98" i="342" s="1"/>
  <c r="W99" i="342" s="1"/>
  <c r="W100" i="342" s="1"/>
  <c r="W101" i="342" s="1"/>
  <c r="W102" i="342" s="1"/>
  <c r="W103" i="342" s="1"/>
  <c r="W105" i="342" s="1"/>
  <c r="X56" i="342"/>
  <c r="W9" i="341"/>
  <c r="X8" i="341"/>
  <c r="AF81" i="340"/>
  <c r="AL75" i="340"/>
  <c r="AL78" i="340" s="1"/>
  <c r="AK78" i="340"/>
  <c r="AL79" i="340" s="1"/>
  <c r="X5" i="340"/>
  <c r="W6" i="340"/>
  <c r="AB100" i="339"/>
  <c r="AB92" i="339"/>
  <c r="AA10" i="339"/>
  <c r="O74" i="339"/>
  <c r="O75" i="339"/>
  <c r="O78" i="339"/>
  <c r="O61" i="339"/>
  <c r="Z14" i="339"/>
  <c r="Z13" i="339" s="1"/>
  <c r="O98" i="339"/>
  <c r="O97" i="339"/>
  <c r="O68" i="339"/>
  <c r="O41" i="339"/>
  <c r="O46" i="339"/>
  <c r="O49" i="339"/>
  <c r="O36" i="339"/>
  <c r="O37" i="339"/>
  <c r="O34" i="339"/>
  <c r="O101" i="339"/>
  <c r="O45" i="339"/>
  <c r="O55" i="339"/>
  <c r="AA68" i="339"/>
  <c r="O44" i="339"/>
  <c r="O47" i="339"/>
  <c r="O32" i="339"/>
  <c r="O54" i="339"/>
  <c r="O53" i="339"/>
  <c r="O43" i="339"/>
  <c r="O42" i="339"/>
  <c r="O33" i="339"/>
  <c r="O35" i="339"/>
  <c r="O56" i="339"/>
  <c r="O30" i="339"/>
  <c r="O38" i="339"/>
  <c r="O50" i="339"/>
  <c r="O31" i="339"/>
  <c r="O71" i="339"/>
  <c r="O67" i="339"/>
  <c r="O73" i="339"/>
  <c r="O63" i="339"/>
  <c r="O60" i="339"/>
  <c r="O69" i="339"/>
  <c r="O76" i="339"/>
  <c r="O77" i="339"/>
  <c r="O103" i="339"/>
  <c r="O59" i="339"/>
  <c r="O62" i="339"/>
  <c r="O72" i="339"/>
  <c r="O57" i="339"/>
  <c r="O70" i="339"/>
  <c r="O80" i="339"/>
  <c r="O79" i="339"/>
  <c r="O66" i="339"/>
  <c r="O65" i="339"/>
  <c r="O58" i="339"/>
  <c r="O95" i="339"/>
  <c r="O99" i="339"/>
  <c r="O94" i="339"/>
  <c r="O100" i="339"/>
  <c r="O96" i="339"/>
  <c r="O86" i="339"/>
  <c r="O87" i="339"/>
  <c r="S105" i="339"/>
  <c r="AC4" i="339" s="1"/>
  <c r="AE4" i="339" s="1"/>
  <c r="V7" i="339"/>
  <c r="V105" i="339" s="1"/>
  <c r="Z58" i="339"/>
  <c r="AB5" i="339"/>
  <c r="N2" i="339"/>
  <c r="O7" i="339" s="1"/>
  <c r="AC78" i="339"/>
  <c r="AA62" i="339"/>
  <c r="AA61" i="339"/>
  <c r="O82" i="339"/>
  <c r="O83" i="339"/>
  <c r="AD36" i="339"/>
  <c r="AE36" i="339" s="1"/>
  <c r="AD35" i="339"/>
  <c r="K105" i="339"/>
  <c r="K108" i="339" s="1"/>
  <c r="K110" i="339" s="1"/>
  <c r="R105" i="339"/>
  <c r="Z60" i="339"/>
  <c r="AA35" i="339"/>
  <c r="O81" i="339"/>
  <c r="AE34" i="339"/>
  <c r="AB47" i="339"/>
  <c r="AC80" i="339"/>
  <c r="AD5" i="339"/>
  <c r="AA34" i="339" s="1"/>
  <c r="AB34" i="339" s="1"/>
  <c r="O90" i="339"/>
  <c r="O88" i="339"/>
  <c r="O85" i="339"/>
  <c r="O89" i="339"/>
  <c r="O92" i="339"/>
  <c r="O93" i="339"/>
  <c r="AD3" i="338"/>
  <c r="AD7" i="338"/>
  <c r="I7" i="338"/>
  <c r="H7" i="338"/>
  <c r="Z9" i="338"/>
  <c r="U123" i="338"/>
  <c r="P105" i="338"/>
  <c r="M105" i="338"/>
  <c r="J105" i="338"/>
  <c r="U103" i="338"/>
  <c r="T103" i="338"/>
  <c r="S103" i="338"/>
  <c r="Q103" i="338"/>
  <c r="K103" i="338"/>
  <c r="AA102" i="338"/>
  <c r="U102" i="338"/>
  <c r="T102" i="338"/>
  <c r="S102" i="338"/>
  <c r="Q102" i="338"/>
  <c r="K102" i="338"/>
  <c r="U101" i="338"/>
  <c r="T101" i="338"/>
  <c r="S101" i="338"/>
  <c r="Q101" i="338"/>
  <c r="K101" i="338"/>
  <c r="AA100" i="338"/>
  <c r="U100" i="338"/>
  <c r="T100" i="338"/>
  <c r="S100" i="338"/>
  <c r="Q100" i="338"/>
  <c r="K100" i="338"/>
  <c r="AA99" i="338"/>
  <c r="U99" i="338"/>
  <c r="T99" i="338"/>
  <c r="S99" i="338"/>
  <c r="Q99" i="338"/>
  <c r="K99" i="338"/>
  <c r="AA98" i="338"/>
  <c r="U98" i="338"/>
  <c r="T98" i="338"/>
  <c r="S98" i="338"/>
  <c r="Q98" i="338"/>
  <c r="K98" i="338"/>
  <c r="U97" i="338"/>
  <c r="T97" i="338"/>
  <c r="S97" i="338"/>
  <c r="Q97" i="338"/>
  <c r="K97" i="338"/>
  <c r="U96" i="338"/>
  <c r="T96" i="338"/>
  <c r="S96" i="338"/>
  <c r="Q96" i="338"/>
  <c r="K96" i="338"/>
  <c r="AA95" i="338"/>
  <c r="U95" i="338"/>
  <c r="T95" i="338"/>
  <c r="S95" i="338"/>
  <c r="Q95" i="338"/>
  <c r="K95" i="338"/>
  <c r="AA94" i="338"/>
  <c r="U94" i="338"/>
  <c r="T94" i="338"/>
  <c r="S94" i="338"/>
  <c r="Q94" i="338"/>
  <c r="K94" i="338"/>
  <c r="AA93" i="338"/>
  <c r="U93" i="338"/>
  <c r="T93" i="338"/>
  <c r="S93" i="338"/>
  <c r="Q93" i="338"/>
  <c r="K93" i="338"/>
  <c r="U92" i="338"/>
  <c r="T92" i="338"/>
  <c r="S92" i="338"/>
  <c r="Q92" i="338"/>
  <c r="K92" i="338"/>
  <c r="U91" i="338"/>
  <c r="T91" i="338"/>
  <c r="S91" i="338"/>
  <c r="Q91" i="338"/>
  <c r="K91" i="338"/>
  <c r="U90" i="338"/>
  <c r="T90" i="338"/>
  <c r="S90" i="338"/>
  <c r="Q90" i="338"/>
  <c r="K90" i="338"/>
  <c r="U89" i="338"/>
  <c r="T89" i="338"/>
  <c r="S89" i="338"/>
  <c r="Q89" i="338"/>
  <c r="K89" i="338"/>
  <c r="U88" i="338"/>
  <c r="T88" i="338"/>
  <c r="S88" i="338"/>
  <c r="Q88" i="338"/>
  <c r="K88" i="338"/>
  <c r="AE87" i="338"/>
  <c r="AA87" i="338"/>
  <c r="Y87" i="338"/>
  <c r="U87" i="338"/>
  <c r="T87" i="338"/>
  <c r="S87" i="338"/>
  <c r="Q87" i="338"/>
  <c r="K87" i="338"/>
  <c r="AF86" i="338"/>
  <c r="AG86" i="338" s="1"/>
  <c r="AH86" i="338" s="1"/>
  <c r="AH87" i="338" s="1"/>
  <c r="AH88" i="338" s="1"/>
  <c r="U86" i="338"/>
  <c r="T86" i="338"/>
  <c r="S86" i="338"/>
  <c r="Q86" i="338"/>
  <c r="K86" i="338"/>
  <c r="U85" i="338"/>
  <c r="T85" i="338"/>
  <c r="S85" i="338"/>
  <c r="Q85" i="338"/>
  <c r="K85" i="338"/>
  <c r="U84" i="338"/>
  <c r="T84" i="338"/>
  <c r="S84" i="338"/>
  <c r="Q84" i="338"/>
  <c r="K84" i="338"/>
  <c r="U83" i="338"/>
  <c r="T83" i="338"/>
  <c r="S83" i="338"/>
  <c r="Q83" i="338"/>
  <c r="K83" i="338"/>
  <c r="U82" i="338"/>
  <c r="T82" i="338"/>
  <c r="S82" i="338"/>
  <c r="Q82" i="338"/>
  <c r="K82" i="338"/>
  <c r="AA81" i="338"/>
  <c r="AA86" i="338" s="1"/>
  <c r="Z81" i="338"/>
  <c r="U81" i="338"/>
  <c r="T81" i="338"/>
  <c r="S81" i="338"/>
  <c r="Q81" i="338"/>
  <c r="K81" i="338"/>
  <c r="AI80" i="338"/>
  <c r="U80" i="338"/>
  <c r="T80" i="338"/>
  <c r="S80" i="338"/>
  <c r="Q80" i="338"/>
  <c r="K80" i="338"/>
  <c r="AI79" i="338"/>
  <c r="U79" i="338"/>
  <c r="T79" i="338"/>
  <c r="S79" i="338"/>
  <c r="Q79" i="338"/>
  <c r="K79" i="338"/>
  <c r="AI78" i="338"/>
  <c r="U78" i="338"/>
  <c r="T78" i="338"/>
  <c r="S78" i="338"/>
  <c r="Q78" i="338"/>
  <c r="K78" i="338"/>
  <c r="U77" i="338"/>
  <c r="T77" i="338"/>
  <c r="S77" i="338"/>
  <c r="Q77" i="338"/>
  <c r="K77" i="338"/>
  <c r="U76" i="338"/>
  <c r="T76" i="338"/>
  <c r="S76" i="338"/>
  <c r="Q76" i="338"/>
  <c r="K76" i="338"/>
  <c r="U75" i="338"/>
  <c r="T75" i="338"/>
  <c r="S75" i="338"/>
  <c r="Q75" i="338"/>
  <c r="K75" i="338"/>
  <c r="U74" i="338"/>
  <c r="T74" i="338"/>
  <c r="S74" i="338"/>
  <c r="Q74" i="338"/>
  <c r="K74" i="338"/>
  <c r="AD73" i="338"/>
  <c r="Z73" i="338"/>
  <c r="U73" i="338"/>
  <c r="T73" i="338"/>
  <c r="S73" i="338"/>
  <c r="Q73" i="338"/>
  <c r="K73" i="338"/>
  <c r="Z72" i="338"/>
  <c r="U72" i="338"/>
  <c r="T72" i="338"/>
  <c r="S72" i="338"/>
  <c r="Q72" i="338"/>
  <c r="K72" i="338"/>
  <c r="U71" i="338"/>
  <c r="T71" i="338"/>
  <c r="S71" i="338"/>
  <c r="Q71" i="338"/>
  <c r="K71" i="338"/>
  <c r="U70" i="338"/>
  <c r="T70" i="338"/>
  <c r="S70" i="338"/>
  <c r="Q70" i="338"/>
  <c r="K70" i="338"/>
  <c r="U69" i="338"/>
  <c r="T69" i="338"/>
  <c r="S69" i="338"/>
  <c r="Q69" i="338"/>
  <c r="K69" i="338"/>
  <c r="U68" i="338"/>
  <c r="T68" i="338"/>
  <c r="S68" i="338"/>
  <c r="Q68" i="338"/>
  <c r="K68" i="338"/>
  <c r="AA67" i="338"/>
  <c r="U67" i="338"/>
  <c r="T67" i="338"/>
  <c r="S67" i="338"/>
  <c r="Q67" i="338"/>
  <c r="K67" i="338"/>
  <c r="U66" i="338"/>
  <c r="T66" i="338"/>
  <c r="S66" i="338"/>
  <c r="Q66" i="338"/>
  <c r="K66" i="338"/>
  <c r="U65" i="338"/>
  <c r="T65" i="338"/>
  <c r="S65" i="338"/>
  <c r="Q65" i="338"/>
  <c r="K65" i="338"/>
  <c r="U64" i="338"/>
  <c r="T64" i="338"/>
  <c r="S64" i="338"/>
  <c r="Q64" i="338"/>
  <c r="K64" i="338"/>
  <c r="U63" i="338"/>
  <c r="T63" i="338"/>
  <c r="S63" i="338"/>
  <c r="Q63" i="338"/>
  <c r="K63" i="338"/>
  <c r="AC62" i="338"/>
  <c r="U62" i="338"/>
  <c r="T62" i="338"/>
  <c r="S62" i="338"/>
  <c r="Q62" i="338"/>
  <c r="K62" i="338"/>
  <c r="U61" i="338"/>
  <c r="T61" i="338"/>
  <c r="S61" i="338"/>
  <c r="Q61" i="338"/>
  <c r="K61" i="338"/>
  <c r="AA60" i="338"/>
  <c r="AC80" i="338" s="1"/>
  <c r="U60" i="338"/>
  <c r="T60" i="338"/>
  <c r="S60" i="338"/>
  <c r="Q60" i="338"/>
  <c r="K60" i="338"/>
  <c r="AB59" i="338"/>
  <c r="AA59" i="338"/>
  <c r="AC79" i="338" s="1"/>
  <c r="U59" i="338"/>
  <c r="T59" i="338"/>
  <c r="S59" i="338"/>
  <c r="Q59" i="338"/>
  <c r="K59" i="338"/>
  <c r="AB58" i="338"/>
  <c r="AA58" i="338"/>
  <c r="U58" i="338"/>
  <c r="T58" i="338"/>
  <c r="S58" i="338"/>
  <c r="Q58" i="338"/>
  <c r="K58" i="338"/>
  <c r="U57" i="338"/>
  <c r="T57" i="338"/>
  <c r="S57" i="338"/>
  <c r="Q57" i="338"/>
  <c r="K57" i="338"/>
  <c r="U56" i="338"/>
  <c r="T56" i="338"/>
  <c r="S56" i="338"/>
  <c r="Q56" i="338"/>
  <c r="K56" i="338"/>
  <c r="Y55" i="338"/>
  <c r="U55" i="338"/>
  <c r="S55" i="338"/>
  <c r="Q55" i="338"/>
  <c r="T55" i="338" s="1"/>
  <c r="K55" i="338"/>
  <c r="U54" i="338"/>
  <c r="T54" i="338"/>
  <c r="S54" i="338"/>
  <c r="Q54" i="338"/>
  <c r="K54" i="338"/>
  <c r="Y53" i="338"/>
  <c r="U53" i="338"/>
  <c r="T53" i="338"/>
  <c r="Q53" i="338"/>
  <c r="S53" i="338" s="1"/>
  <c r="K53" i="338"/>
  <c r="U52" i="338"/>
  <c r="T52" i="338"/>
  <c r="S52" i="338"/>
  <c r="Q52" i="338"/>
  <c r="K52" i="338"/>
  <c r="Y51" i="338"/>
  <c r="U51" i="338"/>
  <c r="T51" i="338"/>
  <c r="S51" i="338"/>
  <c r="Q51" i="338"/>
  <c r="K51" i="338"/>
  <c r="AB50" i="338"/>
  <c r="U50" i="338"/>
  <c r="T50" i="338"/>
  <c r="S50" i="338"/>
  <c r="Q50" i="338"/>
  <c r="K50" i="338"/>
  <c r="Y49" i="338"/>
  <c r="Z49" i="338" s="1"/>
  <c r="U49" i="338"/>
  <c r="T49" i="338"/>
  <c r="S49" i="338"/>
  <c r="Q49" i="338"/>
  <c r="K49" i="338"/>
  <c r="Y48" i="338"/>
  <c r="Z48" i="338" s="1"/>
  <c r="U48" i="338"/>
  <c r="T48" i="338"/>
  <c r="S48" i="338"/>
  <c r="Q48" i="338"/>
  <c r="K48" i="338"/>
  <c r="U47" i="338"/>
  <c r="T47" i="338"/>
  <c r="S47" i="338"/>
  <c r="Q47" i="338"/>
  <c r="K47" i="338"/>
  <c r="U46" i="338"/>
  <c r="T46" i="338"/>
  <c r="Q46" i="338"/>
  <c r="S46" i="338" s="1"/>
  <c r="K46" i="338"/>
  <c r="AB45" i="338"/>
  <c r="AA45" i="338"/>
  <c r="U45" i="338"/>
  <c r="T45" i="338"/>
  <c r="S45" i="338"/>
  <c r="Q45" i="338"/>
  <c r="K45" i="338"/>
  <c r="AB44" i="338"/>
  <c r="AA44" i="338"/>
  <c r="U44" i="338"/>
  <c r="T44" i="338"/>
  <c r="S44" i="338"/>
  <c r="Q44" i="338"/>
  <c r="K44" i="338"/>
  <c r="AB43" i="338"/>
  <c r="AA43" i="338"/>
  <c r="U43" i="338"/>
  <c r="T43" i="338"/>
  <c r="S43" i="338"/>
  <c r="Q43" i="338"/>
  <c r="K43" i="338"/>
  <c r="U42" i="338"/>
  <c r="T42" i="338"/>
  <c r="S42" i="338"/>
  <c r="Q42" i="338"/>
  <c r="K42" i="338"/>
  <c r="U41" i="338"/>
  <c r="T41" i="338"/>
  <c r="S41" i="338"/>
  <c r="Q41" i="338"/>
  <c r="K41" i="338"/>
  <c r="U40" i="338"/>
  <c r="T40" i="338"/>
  <c r="S40" i="338"/>
  <c r="K40" i="338"/>
  <c r="U39" i="338"/>
  <c r="T39" i="338"/>
  <c r="S39" i="338"/>
  <c r="Q39" i="338"/>
  <c r="K39" i="338"/>
  <c r="U38" i="338"/>
  <c r="T38" i="338"/>
  <c r="Q38" i="338"/>
  <c r="S38" i="338" s="1"/>
  <c r="K38" i="338"/>
  <c r="U37" i="338"/>
  <c r="T37" i="338"/>
  <c r="S37" i="338"/>
  <c r="Q37" i="338"/>
  <c r="K37" i="338"/>
  <c r="Z36" i="338"/>
  <c r="AA36" i="338" s="1"/>
  <c r="AB36" i="338" s="1"/>
  <c r="U36" i="338"/>
  <c r="T36" i="338"/>
  <c r="S36" i="338"/>
  <c r="Q36" i="338"/>
  <c r="K36" i="338"/>
  <c r="Z35" i="338"/>
  <c r="U35" i="338"/>
  <c r="T35" i="338"/>
  <c r="S35" i="338"/>
  <c r="Q35" i="338"/>
  <c r="K35" i="338"/>
  <c r="AC34" i="338"/>
  <c r="AC36" i="338" s="1"/>
  <c r="U34" i="338"/>
  <c r="T34" i="338"/>
  <c r="S34" i="338"/>
  <c r="Q34" i="338"/>
  <c r="K34" i="338"/>
  <c r="U33" i="338"/>
  <c r="T33" i="338"/>
  <c r="S33" i="338"/>
  <c r="Q33" i="338"/>
  <c r="K33" i="338"/>
  <c r="U32" i="338"/>
  <c r="T32" i="338"/>
  <c r="S32" i="338"/>
  <c r="Q32" i="338"/>
  <c r="K32" i="338"/>
  <c r="U31" i="338"/>
  <c r="T31" i="338"/>
  <c r="S31" i="338"/>
  <c r="Q31" i="338"/>
  <c r="K31" i="338"/>
  <c r="Z30" i="338"/>
  <c r="U30" i="338"/>
  <c r="T30" i="338"/>
  <c r="S30" i="338"/>
  <c r="Q30" i="338"/>
  <c r="K30" i="338"/>
  <c r="U29" i="338"/>
  <c r="T29" i="338"/>
  <c r="S29" i="338"/>
  <c r="Q29" i="338"/>
  <c r="K29" i="338"/>
  <c r="U28" i="338"/>
  <c r="T28" i="338"/>
  <c r="S28" i="338"/>
  <c r="Q28" i="338"/>
  <c r="K28" i="338"/>
  <c r="U27" i="338"/>
  <c r="T27" i="338"/>
  <c r="S27" i="338"/>
  <c r="Q27" i="338"/>
  <c r="K27" i="338"/>
  <c r="T26" i="338"/>
  <c r="S26" i="338"/>
  <c r="Q26" i="338"/>
  <c r="U26" i="338" s="1"/>
  <c r="K26" i="338"/>
  <c r="U25" i="338"/>
  <c r="T25" i="338"/>
  <c r="Q25" i="338"/>
  <c r="S25" i="338" s="1"/>
  <c r="K25" i="338"/>
  <c r="U24" i="338"/>
  <c r="T24" i="338"/>
  <c r="S24" i="338"/>
  <c r="Q24" i="338"/>
  <c r="K24" i="338"/>
  <c r="U23" i="338"/>
  <c r="T23" i="338"/>
  <c r="S23" i="338"/>
  <c r="Q23" i="338"/>
  <c r="K23" i="338"/>
  <c r="U22" i="338"/>
  <c r="T22" i="338"/>
  <c r="Q22" i="338"/>
  <c r="S22" i="338" s="1"/>
  <c r="K22" i="338"/>
  <c r="U21" i="338"/>
  <c r="T21" i="338"/>
  <c r="S21" i="338"/>
  <c r="Q21" i="338"/>
  <c r="K21" i="338"/>
  <c r="U20" i="338"/>
  <c r="T20" i="338"/>
  <c r="Q20" i="338"/>
  <c r="S20" i="338" s="1"/>
  <c r="K20" i="338"/>
  <c r="U19" i="338"/>
  <c r="T19" i="338"/>
  <c r="Q19" i="338"/>
  <c r="S19" i="338" s="1"/>
  <c r="K19" i="338"/>
  <c r="U18" i="338"/>
  <c r="S18" i="338"/>
  <c r="AB99" i="338" s="1"/>
  <c r="Q18" i="338"/>
  <c r="T18" i="338" s="1"/>
  <c r="AB94" i="338" s="1"/>
  <c r="K18" i="338"/>
  <c r="U17" i="338"/>
  <c r="Q17" i="338"/>
  <c r="S17" i="338" s="1"/>
  <c r="K17" i="338"/>
  <c r="U16" i="338"/>
  <c r="T16" i="338"/>
  <c r="S16" i="338"/>
  <c r="K16" i="338"/>
  <c r="Z15" i="338"/>
  <c r="U15" i="338"/>
  <c r="T15" i="338"/>
  <c r="Q15" i="338"/>
  <c r="S15" i="338" s="1"/>
  <c r="K15" i="338"/>
  <c r="U14" i="338"/>
  <c r="T14" i="338"/>
  <c r="Q14" i="338"/>
  <c r="S14" i="338" s="1"/>
  <c r="K14" i="338"/>
  <c r="U13" i="338"/>
  <c r="T13" i="338"/>
  <c r="Q13" i="338"/>
  <c r="S13" i="338" s="1"/>
  <c r="K13" i="338"/>
  <c r="AC12" i="338"/>
  <c r="AB12" i="338"/>
  <c r="AA12" i="338"/>
  <c r="U12" i="338"/>
  <c r="T12" i="338"/>
  <c r="Q12" i="338"/>
  <c r="S12" i="338" s="1"/>
  <c r="K12" i="338"/>
  <c r="AA11" i="338"/>
  <c r="U11" i="338"/>
  <c r="T11" i="338"/>
  <c r="Q11" i="338"/>
  <c r="S11" i="338" s="1"/>
  <c r="K11" i="338"/>
  <c r="AB10" i="338"/>
  <c r="U10" i="338"/>
  <c r="Q10" i="338"/>
  <c r="T10" i="338" s="1"/>
  <c r="K10" i="338"/>
  <c r="U9" i="338"/>
  <c r="Q9" i="338"/>
  <c r="S9" i="338" s="1"/>
  <c r="K9" i="338"/>
  <c r="U8" i="338"/>
  <c r="T8" i="338"/>
  <c r="Q8" i="338"/>
  <c r="S8" i="338" s="1"/>
  <c r="K8" i="338"/>
  <c r="Z7" i="338"/>
  <c r="U7" i="338"/>
  <c r="Q7" i="338"/>
  <c r="Z6" i="338"/>
  <c r="U6" i="338"/>
  <c r="T6" i="338"/>
  <c r="Q6" i="338"/>
  <c r="S6" i="338" s="1"/>
  <c r="K6" i="338"/>
  <c r="U5" i="338"/>
  <c r="S5" i="338"/>
  <c r="Q5" i="338"/>
  <c r="T5" i="338" s="1"/>
  <c r="K5" i="338"/>
  <c r="U4" i="338"/>
  <c r="S4" i="338"/>
  <c r="Q4" i="338"/>
  <c r="T4" i="338" s="1"/>
  <c r="K4" i="338"/>
  <c r="AE3" i="338"/>
  <c r="U3" i="338"/>
  <c r="S3" i="338"/>
  <c r="Q3" i="338"/>
  <c r="T3" i="338" s="1"/>
  <c r="K3" i="338"/>
  <c r="U2" i="338"/>
  <c r="T2" i="338"/>
  <c r="Q2" i="338"/>
  <c r="S2" i="338" s="1"/>
  <c r="K2" i="338"/>
  <c r="AK59" i="342" l="1"/>
  <c r="AK58" i="342"/>
  <c r="AM58" i="342" s="1"/>
  <c r="X9" i="341"/>
  <c r="W10" i="341"/>
  <c r="W7" i="340"/>
  <c r="X6" i="340"/>
  <c r="Z18" i="339"/>
  <c r="Z24" i="339" s="1"/>
  <c r="W2" i="339" s="1"/>
  <c r="AA3" i="339"/>
  <c r="AF3" i="339" s="1"/>
  <c r="AA4" i="339"/>
  <c r="Z59" i="339"/>
  <c r="AB79" i="339" s="1"/>
  <c r="AD79" i="339" s="1"/>
  <c r="AK76" i="339" s="1"/>
  <c r="AL76" i="339" s="1"/>
  <c r="AC5" i="339"/>
  <c r="AE5" i="339" s="1"/>
  <c r="AA37" i="339"/>
  <c r="AB37" i="339" s="1"/>
  <c r="AB35" i="339"/>
  <c r="AD37" i="339"/>
  <c r="AE35" i="339"/>
  <c r="AE37" i="339" s="1"/>
  <c r="AB78" i="339"/>
  <c r="AD58" i="339"/>
  <c r="W3" i="339"/>
  <c r="Z53" i="339"/>
  <c r="AD60" i="339"/>
  <c r="AE80" i="339" s="1"/>
  <c r="AB80" i="339"/>
  <c r="AD80" i="339" s="1"/>
  <c r="AK77" i="339" s="1"/>
  <c r="AL77" i="339" s="1"/>
  <c r="N105" i="339"/>
  <c r="O29" i="339"/>
  <c r="O25" i="339"/>
  <c r="O8" i="339"/>
  <c r="O26" i="339"/>
  <c r="O9" i="339"/>
  <c r="O3" i="339"/>
  <c r="O24" i="339"/>
  <c r="O15" i="339"/>
  <c r="O27" i="339"/>
  <c r="O4" i="339"/>
  <c r="O16" i="339"/>
  <c r="O14" i="339"/>
  <c r="O2" i="339"/>
  <c r="O5" i="339"/>
  <c r="O13" i="339"/>
  <c r="O22" i="339"/>
  <c r="O10" i="339"/>
  <c r="O19" i="339"/>
  <c r="O12" i="339"/>
  <c r="O6" i="339"/>
  <c r="O11" i="339"/>
  <c r="O17" i="339"/>
  <c r="O20" i="339"/>
  <c r="O28" i="339"/>
  <c r="Z3" i="339"/>
  <c r="Z4" i="339"/>
  <c r="AC81" i="339"/>
  <c r="V94" i="338"/>
  <c r="V95" i="338"/>
  <c r="V100" i="338"/>
  <c r="V79" i="338"/>
  <c r="V81" i="338"/>
  <c r="AB102" i="338"/>
  <c r="V30" i="338"/>
  <c r="V33" i="338"/>
  <c r="V68" i="338"/>
  <c r="V32" i="338"/>
  <c r="V66" i="338"/>
  <c r="Z16" i="338"/>
  <c r="AA16" i="338" s="1"/>
  <c r="AC43" i="338"/>
  <c r="V21" i="338"/>
  <c r="V35" i="338"/>
  <c r="V45" i="338"/>
  <c r="V42" i="338"/>
  <c r="AC44" i="338"/>
  <c r="V49" i="338"/>
  <c r="V93" i="338"/>
  <c r="Z10" i="338"/>
  <c r="AK79" i="338" s="1"/>
  <c r="V36" i="338"/>
  <c r="V37" i="338"/>
  <c r="V38" i="338"/>
  <c r="AB47" i="338"/>
  <c r="AB62" i="338"/>
  <c r="V62" i="338"/>
  <c r="V91" i="338"/>
  <c r="V92" i="338"/>
  <c r="V102" i="338"/>
  <c r="V103" i="338"/>
  <c r="V34" i="338"/>
  <c r="Z37" i="338"/>
  <c r="V46" i="338"/>
  <c r="V50" i="338"/>
  <c r="V51" i="338"/>
  <c r="V54" i="338"/>
  <c r="V82" i="338"/>
  <c r="V88" i="338"/>
  <c r="V97" i="338"/>
  <c r="V101" i="338"/>
  <c r="AC45" i="338"/>
  <c r="AA15" i="338"/>
  <c r="V18" i="338"/>
  <c r="V31" i="338"/>
  <c r="V43" i="338"/>
  <c r="V67" i="338"/>
  <c r="AA9" i="338"/>
  <c r="V39" i="338"/>
  <c r="V40" i="338"/>
  <c r="V48" i="338"/>
  <c r="V56" i="338"/>
  <c r="V65" i="338"/>
  <c r="V70" i="338"/>
  <c r="V73" i="338"/>
  <c r="V80" i="338"/>
  <c r="V83" i="338"/>
  <c r="V87" i="338"/>
  <c r="V99" i="338"/>
  <c r="AB61" i="338"/>
  <c r="V74" i="338"/>
  <c r="V85" i="338"/>
  <c r="V59" i="338"/>
  <c r="V90" i="338"/>
  <c r="V52" i="338"/>
  <c r="V55" i="338"/>
  <c r="T17" i="338"/>
  <c r="V17" i="338" s="1"/>
  <c r="V14" i="338"/>
  <c r="V15" i="338"/>
  <c r="T9" i="338"/>
  <c r="V9" i="338" s="1"/>
  <c r="V13" i="338"/>
  <c r="V28" i="338"/>
  <c r="V8" i="338"/>
  <c r="S10" i="338"/>
  <c r="V10" i="338" s="1"/>
  <c r="V4" i="338"/>
  <c r="V3" i="338"/>
  <c r="V12" i="338"/>
  <c r="V20" i="338"/>
  <c r="V25" i="338"/>
  <c r="V26" i="338"/>
  <c r="V5" i="338"/>
  <c r="V6" i="338"/>
  <c r="V22" i="338"/>
  <c r="V24" i="338"/>
  <c r="V29" i="338"/>
  <c r="AA62" i="338"/>
  <c r="AC78" i="338"/>
  <c r="AC81" i="338" s="1"/>
  <c r="H105" i="338"/>
  <c r="H107" i="338" s="1"/>
  <c r="AA97" i="338"/>
  <c r="S7" i="338"/>
  <c r="AB97" i="338" s="1"/>
  <c r="K7" i="338"/>
  <c r="AA42" i="338"/>
  <c r="V2" i="338"/>
  <c r="AB93" i="338"/>
  <c r="N27" i="338"/>
  <c r="O32" i="338" s="1"/>
  <c r="I105" i="338"/>
  <c r="AA92" i="338"/>
  <c r="T7" i="338"/>
  <c r="AB42" i="338"/>
  <c r="AC61" i="338"/>
  <c r="AA68" i="338" s="1"/>
  <c r="AC58" i="338"/>
  <c r="R51" i="338"/>
  <c r="Q105" i="338"/>
  <c r="V11" i="338"/>
  <c r="V16" i="338"/>
  <c r="V19" i="338"/>
  <c r="V27" i="338"/>
  <c r="AD34" i="338"/>
  <c r="AE34" i="338" s="1"/>
  <c r="AC35" i="338"/>
  <c r="V53" i="338"/>
  <c r="V23" i="338"/>
  <c r="N56" i="338"/>
  <c r="O62" i="338" s="1"/>
  <c r="N50" i="338"/>
  <c r="R50" i="338"/>
  <c r="R52" i="338"/>
  <c r="R54" i="338"/>
  <c r="N81" i="338"/>
  <c r="O82" i="338" s="1"/>
  <c r="U105" i="338"/>
  <c r="AD4" i="338" s="1"/>
  <c r="V44" i="338"/>
  <c r="V47" i="338"/>
  <c r="V57" i="338"/>
  <c r="V72" i="338"/>
  <c r="AB86" i="338"/>
  <c r="AC86" i="338" s="1"/>
  <c r="AD86" i="338" s="1"/>
  <c r="AD87" i="338" s="1"/>
  <c r="AD88" i="338" s="1"/>
  <c r="V98" i="338"/>
  <c r="AB98" i="338"/>
  <c r="V41" i="338"/>
  <c r="V60" i="338"/>
  <c r="V61" i="338"/>
  <c r="AA61" i="338"/>
  <c r="V63" i="338"/>
  <c r="V69" i="338"/>
  <c r="V58" i="338"/>
  <c r="V64" i="338"/>
  <c r="V71" i="338"/>
  <c r="V75" i="338"/>
  <c r="V76" i="338"/>
  <c r="V77" i="338"/>
  <c r="V86" i="338"/>
  <c r="V89" i="338"/>
  <c r="N94" i="338"/>
  <c r="V96" i="338"/>
  <c r="V78" i="338"/>
  <c r="V84" i="338"/>
  <c r="X84" i="338" s="1"/>
  <c r="N85" i="338"/>
  <c r="AK79" i="337"/>
  <c r="U123" i="337"/>
  <c r="P105" i="337"/>
  <c r="M105" i="337"/>
  <c r="J105" i="337"/>
  <c r="H105" i="337"/>
  <c r="U103" i="337"/>
  <c r="T103" i="337"/>
  <c r="S103" i="337"/>
  <c r="V103" i="337" s="1"/>
  <c r="Q103" i="337"/>
  <c r="K103" i="337"/>
  <c r="AA102" i="337"/>
  <c r="V102" i="337"/>
  <c r="U102" i="337"/>
  <c r="T102" i="337"/>
  <c r="S102" i="337"/>
  <c r="Q102" i="337"/>
  <c r="K102" i="337"/>
  <c r="U101" i="337"/>
  <c r="T101" i="337"/>
  <c r="S101" i="337"/>
  <c r="Q101" i="337"/>
  <c r="K101" i="337"/>
  <c r="AA100" i="337"/>
  <c r="V100" i="337"/>
  <c r="U100" i="337"/>
  <c r="T100" i="337"/>
  <c r="S100" i="337"/>
  <c r="Q100" i="337"/>
  <c r="K100" i="337"/>
  <c r="AA99" i="337"/>
  <c r="U99" i="337"/>
  <c r="V99" i="337" s="1"/>
  <c r="T99" i="337"/>
  <c r="S99" i="337"/>
  <c r="Q99" i="337"/>
  <c r="O99" i="337"/>
  <c r="K99" i="337"/>
  <c r="AA98" i="337"/>
  <c r="U98" i="337"/>
  <c r="V98" i="337" s="1"/>
  <c r="T98" i="337"/>
  <c r="S98" i="337"/>
  <c r="Q98" i="337"/>
  <c r="O98" i="337"/>
  <c r="K98" i="337"/>
  <c r="AA97" i="337"/>
  <c r="U97" i="337"/>
  <c r="T97" i="337"/>
  <c r="S97" i="337"/>
  <c r="V97" i="337" s="1"/>
  <c r="Q97" i="337"/>
  <c r="K97" i="337"/>
  <c r="U96" i="337"/>
  <c r="T96" i="337"/>
  <c r="V96" i="337" s="1"/>
  <c r="S96" i="337"/>
  <c r="Q96" i="337"/>
  <c r="K96" i="337"/>
  <c r="AA95" i="337"/>
  <c r="U95" i="337"/>
  <c r="T95" i="337"/>
  <c r="S95" i="337"/>
  <c r="Q95" i="337"/>
  <c r="K95" i="337"/>
  <c r="AA94" i="337"/>
  <c r="U94" i="337"/>
  <c r="T94" i="337"/>
  <c r="S94" i="337"/>
  <c r="V94" i="337" s="1"/>
  <c r="Q94" i="337"/>
  <c r="K94" i="337"/>
  <c r="N94" i="337" s="1"/>
  <c r="AA93" i="337"/>
  <c r="V93" i="337"/>
  <c r="U93" i="337"/>
  <c r="T93" i="337"/>
  <c r="S93" i="337"/>
  <c r="Q93" i="337"/>
  <c r="K93" i="337"/>
  <c r="U92" i="337"/>
  <c r="T92" i="337"/>
  <c r="S92" i="337"/>
  <c r="V92" i="337" s="1"/>
  <c r="Q92" i="337"/>
  <c r="K92" i="337"/>
  <c r="V91" i="337"/>
  <c r="U91" i="337"/>
  <c r="T91" i="337"/>
  <c r="S91" i="337"/>
  <c r="Q91" i="337"/>
  <c r="K91" i="337"/>
  <c r="U90" i="337"/>
  <c r="T90" i="337"/>
  <c r="S90" i="337"/>
  <c r="Q90" i="337"/>
  <c r="K90" i="337"/>
  <c r="U89" i="337"/>
  <c r="V89" i="337" s="1"/>
  <c r="T89" i="337"/>
  <c r="S89" i="337"/>
  <c r="Q89" i="337"/>
  <c r="K89" i="337"/>
  <c r="AH88" i="337"/>
  <c r="U88" i="337"/>
  <c r="T88" i="337"/>
  <c r="S88" i="337"/>
  <c r="V88" i="337" s="1"/>
  <c r="Q88" i="337"/>
  <c r="K88" i="337"/>
  <c r="AE87" i="337"/>
  <c r="AF86" i="337" s="1"/>
  <c r="AA87" i="337"/>
  <c r="Y87" i="337"/>
  <c r="U87" i="337"/>
  <c r="V87" i="337" s="1"/>
  <c r="T87" i="337"/>
  <c r="S87" i="337"/>
  <c r="Q87" i="337"/>
  <c r="K87" i="337"/>
  <c r="O87" i="337" s="1"/>
  <c r="AG86" i="337"/>
  <c r="AH86" i="337" s="1"/>
  <c r="AH87" i="337" s="1"/>
  <c r="V86" i="337"/>
  <c r="U86" i="337"/>
  <c r="T86" i="337"/>
  <c r="S86" i="337"/>
  <c r="Q86" i="337"/>
  <c r="K86" i="337"/>
  <c r="V85" i="337"/>
  <c r="U85" i="337"/>
  <c r="T85" i="337"/>
  <c r="S85" i="337"/>
  <c r="Q85" i="337"/>
  <c r="N85" i="337"/>
  <c r="O86" i="337" s="1"/>
  <c r="K85" i="337"/>
  <c r="V84" i="337"/>
  <c r="X84" i="337" s="1"/>
  <c r="U84" i="337"/>
  <c r="T84" i="337"/>
  <c r="S84" i="337"/>
  <c r="Q84" i="337"/>
  <c r="K84" i="337"/>
  <c r="O84" i="337" s="1"/>
  <c r="V83" i="337"/>
  <c r="U83" i="337"/>
  <c r="T83" i="337"/>
  <c r="S83" i="337"/>
  <c r="Q83" i="337"/>
  <c r="K83" i="337"/>
  <c r="U82" i="337"/>
  <c r="T82" i="337"/>
  <c r="S82" i="337"/>
  <c r="Q82" i="337"/>
  <c r="O82" i="337"/>
  <c r="K82" i="337"/>
  <c r="AA81" i="337"/>
  <c r="AA86" i="337" s="1"/>
  <c r="Z81" i="337"/>
  <c r="U81" i="337"/>
  <c r="T81" i="337"/>
  <c r="S81" i="337"/>
  <c r="V81" i="337" s="1"/>
  <c r="Q81" i="337"/>
  <c r="N81" i="337"/>
  <c r="O81" i="337" s="1"/>
  <c r="K81" i="337"/>
  <c r="AI80" i="337"/>
  <c r="U80" i="337"/>
  <c r="T80" i="337"/>
  <c r="S80" i="337"/>
  <c r="Q80" i="337"/>
  <c r="K80" i="337"/>
  <c r="AI79" i="337"/>
  <c r="U79" i="337"/>
  <c r="T79" i="337"/>
  <c r="S79" i="337"/>
  <c r="V79" i="337" s="1"/>
  <c r="Q79" i="337"/>
  <c r="K79" i="337"/>
  <c r="AI78" i="337"/>
  <c r="U78" i="337"/>
  <c r="T78" i="337"/>
  <c r="V78" i="337" s="1"/>
  <c r="S78" i="337"/>
  <c r="Q78" i="337"/>
  <c r="K78" i="337"/>
  <c r="U77" i="337"/>
  <c r="T77" i="337"/>
  <c r="S77" i="337"/>
  <c r="V77" i="337" s="1"/>
  <c r="Q77" i="337"/>
  <c r="K77" i="337"/>
  <c r="U76" i="337"/>
  <c r="T76" i="337"/>
  <c r="S76" i="337"/>
  <c r="V76" i="337" s="1"/>
  <c r="Q76" i="337"/>
  <c r="K76" i="337"/>
  <c r="U75" i="337"/>
  <c r="T75" i="337"/>
  <c r="S75" i="337"/>
  <c r="Q75" i="337"/>
  <c r="K75" i="337"/>
  <c r="V74" i="337"/>
  <c r="U74" i="337"/>
  <c r="T74" i="337"/>
  <c r="S74" i="337"/>
  <c r="Q74" i="337"/>
  <c r="K74" i="337"/>
  <c r="AP73" i="337"/>
  <c r="AQ73" i="337" s="1"/>
  <c r="AD73" i="337"/>
  <c r="Z73" i="337"/>
  <c r="V73" i="337"/>
  <c r="U73" i="337"/>
  <c r="T73" i="337"/>
  <c r="S73" i="337"/>
  <c r="Q73" i="337"/>
  <c r="K73" i="337"/>
  <c r="AM72" i="337"/>
  <c r="AN73" i="337" s="1"/>
  <c r="Z72" i="337"/>
  <c r="U72" i="337"/>
  <c r="T72" i="337"/>
  <c r="S72" i="337"/>
  <c r="Q72" i="337"/>
  <c r="K72" i="337"/>
  <c r="U71" i="337"/>
  <c r="T71" i="337"/>
  <c r="V71" i="337" s="1"/>
  <c r="S71" i="337"/>
  <c r="Q71" i="337"/>
  <c r="K71" i="337"/>
  <c r="V70" i="337"/>
  <c r="U70" i="337"/>
  <c r="T70" i="337"/>
  <c r="S70" i="337"/>
  <c r="Q70" i="337"/>
  <c r="K70" i="337"/>
  <c r="U69" i="337"/>
  <c r="T69" i="337"/>
  <c r="V69" i="337" s="1"/>
  <c r="S69" i="337"/>
  <c r="Q69" i="337"/>
  <c r="K69" i="337"/>
  <c r="U68" i="337"/>
  <c r="T68" i="337"/>
  <c r="V68" i="337" s="1"/>
  <c r="S68" i="337"/>
  <c r="Q68" i="337"/>
  <c r="K68" i="337"/>
  <c r="AA67" i="337"/>
  <c r="U67" i="337"/>
  <c r="T67" i="337"/>
  <c r="V67" i="337" s="1"/>
  <c r="S67" i="337"/>
  <c r="Q67" i="337"/>
  <c r="K67" i="337"/>
  <c r="U66" i="337"/>
  <c r="V66" i="337" s="1"/>
  <c r="T66" i="337"/>
  <c r="S66" i="337"/>
  <c r="Q66" i="337"/>
  <c r="K66" i="337"/>
  <c r="V65" i="337"/>
  <c r="U65" i="337"/>
  <c r="T65" i="337"/>
  <c r="S65" i="337"/>
  <c r="Q65" i="337"/>
  <c r="K65" i="337"/>
  <c r="U64" i="337"/>
  <c r="T64" i="337"/>
  <c r="S64" i="337"/>
  <c r="Q64" i="337"/>
  <c r="K64" i="337"/>
  <c r="U63" i="337"/>
  <c r="T63" i="337"/>
  <c r="V63" i="337" s="1"/>
  <c r="S63" i="337"/>
  <c r="Q63" i="337"/>
  <c r="K63" i="337"/>
  <c r="AC62" i="337"/>
  <c r="AB62" i="337"/>
  <c r="V62" i="337"/>
  <c r="U62" i="337"/>
  <c r="T62" i="337"/>
  <c r="S62" i="337"/>
  <c r="Q62" i="337"/>
  <c r="K62" i="337"/>
  <c r="V61" i="337"/>
  <c r="U61" i="337"/>
  <c r="T61" i="337"/>
  <c r="S61" i="337"/>
  <c r="Q61" i="337"/>
  <c r="K61" i="337"/>
  <c r="AA60" i="337"/>
  <c r="AC80" i="337" s="1"/>
  <c r="U60" i="337"/>
  <c r="T60" i="337"/>
  <c r="V60" i="337" s="1"/>
  <c r="S60" i="337"/>
  <c r="Q60" i="337"/>
  <c r="K60" i="337"/>
  <c r="AB59" i="337"/>
  <c r="AB61" i="337" s="1"/>
  <c r="AA59" i="337"/>
  <c r="AC79" i="337" s="1"/>
  <c r="U59" i="337"/>
  <c r="T59" i="337"/>
  <c r="S59" i="337"/>
  <c r="V59" i="337" s="1"/>
  <c r="Q59" i="337"/>
  <c r="K59" i="337"/>
  <c r="AB58" i="337"/>
  <c r="AA58" i="337"/>
  <c r="AC78" i="337" s="1"/>
  <c r="U58" i="337"/>
  <c r="T58" i="337"/>
  <c r="S58" i="337"/>
  <c r="Q58" i="337"/>
  <c r="K58" i="337"/>
  <c r="U57" i="337"/>
  <c r="T57" i="337"/>
  <c r="V57" i="337" s="1"/>
  <c r="S57" i="337"/>
  <c r="Q57" i="337"/>
  <c r="K57" i="337"/>
  <c r="V56" i="337"/>
  <c r="U56" i="337"/>
  <c r="T56" i="337"/>
  <c r="S56" i="337"/>
  <c r="Q56" i="337"/>
  <c r="K56" i="337"/>
  <c r="Y55" i="337"/>
  <c r="U55" i="337"/>
  <c r="S55" i="337"/>
  <c r="Q55" i="337"/>
  <c r="T55" i="337" s="1"/>
  <c r="V55" i="337" s="1"/>
  <c r="K55" i="337"/>
  <c r="U54" i="337"/>
  <c r="T54" i="337"/>
  <c r="V54" i="337" s="1"/>
  <c r="S54" i="337"/>
  <c r="Q54" i="337"/>
  <c r="K54" i="337"/>
  <c r="Y53" i="337"/>
  <c r="U53" i="337"/>
  <c r="T53" i="337"/>
  <c r="S53" i="337"/>
  <c r="V53" i="337" s="1"/>
  <c r="Q53" i="337"/>
  <c r="K53" i="337"/>
  <c r="U52" i="337"/>
  <c r="T52" i="337"/>
  <c r="S52" i="337"/>
  <c r="V52" i="337" s="1"/>
  <c r="Q52" i="337"/>
  <c r="K52" i="337"/>
  <c r="Y51" i="337"/>
  <c r="U51" i="337"/>
  <c r="V51" i="337" s="1"/>
  <c r="T51" i="337"/>
  <c r="S51" i="337"/>
  <c r="Q51" i="337"/>
  <c r="K51" i="337"/>
  <c r="AB50" i="337"/>
  <c r="U50" i="337"/>
  <c r="T50" i="337"/>
  <c r="S50" i="337"/>
  <c r="V50" i="337" s="1"/>
  <c r="Q50" i="337"/>
  <c r="K50" i="337"/>
  <c r="Z49" i="337"/>
  <c r="Y49" i="337"/>
  <c r="U49" i="337"/>
  <c r="V49" i="337" s="1"/>
  <c r="T49" i="337"/>
  <c r="S49" i="337"/>
  <c r="Q49" i="337"/>
  <c r="K49" i="337"/>
  <c r="Y48" i="337"/>
  <c r="Z48" i="337" s="1"/>
  <c r="U48" i="337"/>
  <c r="T48" i="337"/>
  <c r="S48" i="337"/>
  <c r="V48" i="337" s="1"/>
  <c r="Q48" i="337"/>
  <c r="K48" i="337"/>
  <c r="AB47" i="337"/>
  <c r="U47" i="337"/>
  <c r="T47" i="337"/>
  <c r="S47" i="337"/>
  <c r="V47" i="337" s="1"/>
  <c r="Q47" i="337"/>
  <c r="K47" i="337"/>
  <c r="U46" i="337"/>
  <c r="T46" i="337"/>
  <c r="S46" i="337"/>
  <c r="V46" i="337" s="1"/>
  <c r="Q46" i="337"/>
  <c r="K46" i="337"/>
  <c r="AB45" i="337"/>
  <c r="AA45" i="337"/>
  <c r="AC45" i="337" s="1"/>
  <c r="V45" i="337"/>
  <c r="U45" i="337"/>
  <c r="T45" i="337"/>
  <c r="S45" i="337"/>
  <c r="Q45" i="337"/>
  <c r="K45" i="337"/>
  <c r="AC44" i="337"/>
  <c r="AB44" i="337"/>
  <c r="AA44" i="337"/>
  <c r="V44" i="337"/>
  <c r="U44" i="337"/>
  <c r="T44" i="337"/>
  <c r="S44" i="337"/>
  <c r="Q44" i="337"/>
  <c r="K44" i="337"/>
  <c r="AB43" i="337"/>
  <c r="AC43" i="337" s="1"/>
  <c r="AA43" i="337"/>
  <c r="V43" i="337"/>
  <c r="U43" i="337"/>
  <c r="T43" i="337"/>
  <c r="S43" i="337"/>
  <c r="Q43" i="337"/>
  <c r="K43" i="337"/>
  <c r="AA42" i="337"/>
  <c r="U42" i="337"/>
  <c r="T42" i="337"/>
  <c r="S42" i="337"/>
  <c r="Q42" i="337"/>
  <c r="K42" i="337"/>
  <c r="U41" i="337"/>
  <c r="V41" i="337" s="1"/>
  <c r="T41" i="337"/>
  <c r="S41" i="337"/>
  <c r="Q41" i="337"/>
  <c r="K41" i="337"/>
  <c r="V40" i="337"/>
  <c r="U40" i="337"/>
  <c r="T40" i="337"/>
  <c r="S40" i="337"/>
  <c r="K40" i="337"/>
  <c r="V39" i="337"/>
  <c r="U39" i="337"/>
  <c r="T39" i="337"/>
  <c r="S39" i="337"/>
  <c r="Q39" i="337"/>
  <c r="K39" i="337"/>
  <c r="U38" i="337"/>
  <c r="V38" i="337" s="1"/>
  <c r="T38" i="337"/>
  <c r="Q38" i="337"/>
  <c r="S38" i="337" s="1"/>
  <c r="K38" i="337"/>
  <c r="V37" i="337"/>
  <c r="U37" i="337"/>
  <c r="T37" i="337"/>
  <c r="S37" i="337"/>
  <c r="Q37" i="337"/>
  <c r="K37" i="337"/>
  <c r="Z36" i="337"/>
  <c r="U36" i="337"/>
  <c r="T36" i="337"/>
  <c r="V36" i="337" s="1"/>
  <c r="S36" i="337"/>
  <c r="Q36" i="337"/>
  <c r="K36" i="337"/>
  <c r="Z35" i="337"/>
  <c r="V35" i="337"/>
  <c r="U35" i="337"/>
  <c r="T35" i="337"/>
  <c r="S35" i="337"/>
  <c r="Q35" i="337"/>
  <c r="K35" i="337"/>
  <c r="AC34" i="337"/>
  <c r="AD34" i="337" s="1"/>
  <c r="U34" i="337"/>
  <c r="T34" i="337"/>
  <c r="S34" i="337"/>
  <c r="V34" i="337" s="1"/>
  <c r="Q34" i="337"/>
  <c r="K34" i="337"/>
  <c r="U33" i="337"/>
  <c r="V33" i="337" s="1"/>
  <c r="T33" i="337"/>
  <c r="S33" i="337"/>
  <c r="Q33" i="337"/>
  <c r="K33" i="337"/>
  <c r="U32" i="337"/>
  <c r="T32" i="337"/>
  <c r="S32" i="337"/>
  <c r="Q32" i="337"/>
  <c r="K32" i="337"/>
  <c r="U31" i="337"/>
  <c r="V31" i="337" s="1"/>
  <c r="T31" i="337"/>
  <c r="S31" i="337"/>
  <c r="Q31" i="337"/>
  <c r="K31" i="337"/>
  <c r="Z30" i="337"/>
  <c r="V30" i="337"/>
  <c r="U30" i="337"/>
  <c r="T30" i="337"/>
  <c r="S30" i="337"/>
  <c r="Q30" i="337"/>
  <c r="K30" i="337"/>
  <c r="U29" i="337"/>
  <c r="T29" i="337"/>
  <c r="V29" i="337" s="1"/>
  <c r="S29" i="337"/>
  <c r="Q29" i="337"/>
  <c r="K29" i="337"/>
  <c r="AA28" i="337"/>
  <c r="U28" i="337"/>
  <c r="T28" i="337"/>
  <c r="S28" i="337"/>
  <c r="V28" i="337" s="1"/>
  <c r="Q28" i="337"/>
  <c r="K28" i="337"/>
  <c r="AC27" i="337"/>
  <c r="AA27" i="337"/>
  <c r="V27" i="337"/>
  <c r="U27" i="337"/>
  <c r="T27" i="337"/>
  <c r="S27" i="337"/>
  <c r="Q27" i="337"/>
  <c r="K27" i="337"/>
  <c r="AE26" i="337"/>
  <c r="AE27" i="337" s="1"/>
  <c r="AD26" i="337"/>
  <c r="AD27" i="337" s="1"/>
  <c r="AC26" i="337"/>
  <c r="T26" i="337"/>
  <c r="S26" i="337"/>
  <c r="V26" i="337" s="1"/>
  <c r="Q26" i="337"/>
  <c r="U26" i="337" s="1"/>
  <c r="AB102" i="337" s="1"/>
  <c r="K26" i="337"/>
  <c r="AE25" i="337"/>
  <c r="U25" i="337"/>
  <c r="T25" i="337"/>
  <c r="S25" i="337"/>
  <c r="V25" i="337" s="1"/>
  <c r="Q25" i="337"/>
  <c r="K25" i="337"/>
  <c r="U24" i="337"/>
  <c r="T24" i="337"/>
  <c r="V24" i="337" s="1"/>
  <c r="S24" i="337"/>
  <c r="Q24" i="337"/>
  <c r="K24" i="337"/>
  <c r="U23" i="337"/>
  <c r="V23" i="337" s="1"/>
  <c r="T23" i="337"/>
  <c r="S23" i="337"/>
  <c r="Q23" i="337"/>
  <c r="K23" i="337"/>
  <c r="V22" i="337"/>
  <c r="U22" i="337"/>
  <c r="T22" i="337"/>
  <c r="Q22" i="337"/>
  <c r="S22" i="337" s="1"/>
  <c r="K22" i="337"/>
  <c r="U21" i="337"/>
  <c r="T21" i="337"/>
  <c r="S21" i="337"/>
  <c r="Q21" i="337"/>
  <c r="K21" i="337"/>
  <c r="U20" i="337"/>
  <c r="T20" i="337"/>
  <c r="S20" i="337"/>
  <c r="Q20" i="337"/>
  <c r="K20" i="337"/>
  <c r="U19" i="337"/>
  <c r="T19" i="337"/>
  <c r="Q19" i="337"/>
  <c r="S19" i="337" s="1"/>
  <c r="K19" i="337"/>
  <c r="U18" i="337"/>
  <c r="T18" i="337"/>
  <c r="AB94" i="337" s="1"/>
  <c r="S18" i="337"/>
  <c r="Q18" i="337"/>
  <c r="K18" i="337"/>
  <c r="V17" i="337"/>
  <c r="U17" i="337"/>
  <c r="T17" i="337"/>
  <c r="Q17" i="337"/>
  <c r="S17" i="337" s="1"/>
  <c r="K17" i="337"/>
  <c r="Z16" i="337"/>
  <c r="AA16" i="337" s="1"/>
  <c r="U16" i="337"/>
  <c r="V16" i="337" s="1"/>
  <c r="T16" i="337"/>
  <c r="S16" i="337"/>
  <c r="K16" i="337"/>
  <c r="Z15" i="337"/>
  <c r="V15" i="337"/>
  <c r="U15" i="337"/>
  <c r="T15" i="337"/>
  <c r="Q15" i="337"/>
  <c r="S15" i="337" s="1"/>
  <c r="K15" i="337"/>
  <c r="U14" i="337"/>
  <c r="T14" i="337"/>
  <c r="S14" i="337"/>
  <c r="V14" i="337" s="1"/>
  <c r="Q14" i="337"/>
  <c r="K14" i="337"/>
  <c r="U13" i="337"/>
  <c r="T13" i="337"/>
  <c r="Q13" i="337"/>
  <c r="S13" i="337" s="1"/>
  <c r="V13" i="337" s="1"/>
  <c r="K13" i="337"/>
  <c r="AC12" i="337"/>
  <c r="AB12" i="337"/>
  <c r="AA12" i="337"/>
  <c r="U12" i="337"/>
  <c r="T12" i="337"/>
  <c r="S12" i="337"/>
  <c r="Q12" i="337"/>
  <c r="K12" i="337"/>
  <c r="AE11" i="337"/>
  <c r="AF11" i="337" s="1"/>
  <c r="AA11" i="337"/>
  <c r="U11" i="337"/>
  <c r="T11" i="337"/>
  <c r="Q11" i="337"/>
  <c r="S11" i="337" s="1"/>
  <c r="V11" i="337" s="1"/>
  <c r="K11" i="337"/>
  <c r="AE10" i="337"/>
  <c r="AB10" i="337"/>
  <c r="Z10" i="337"/>
  <c r="AA10" i="337" s="1"/>
  <c r="U10" i="337"/>
  <c r="T10" i="337"/>
  <c r="S10" i="337"/>
  <c r="V10" i="337" s="1"/>
  <c r="Q10" i="337"/>
  <c r="K10" i="337"/>
  <c r="Z9" i="337"/>
  <c r="U9" i="337"/>
  <c r="Q9" i="337"/>
  <c r="S9" i="337" s="1"/>
  <c r="K9" i="337"/>
  <c r="U8" i="337"/>
  <c r="T8" i="337"/>
  <c r="S8" i="337"/>
  <c r="V8" i="337" s="1"/>
  <c r="Q8" i="337"/>
  <c r="K8" i="337"/>
  <c r="AD7" i="337"/>
  <c r="Z7" i="337"/>
  <c r="U7" i="337"/>
  <c r="Q7" i="337"/>
  <c r="S7" i="337" s="1"/>
  <c r="I7" i="337"/>
  <c r="H7" i="337"/>
  <c r="Z6" i="337"/>
  <c r="U6" i="337"/>
  <c r="T6" i="337"/>
  <c r="S6" i="337"/>
  <c r="Q6" i="337"/>
  <c r="K6" i="337"/>
  <c r="U5" i="337"/>
  <c r="S5" i="337"/>
  <c r="V5" i="337" s="1"/>
  <c r="Q5" i="337"/>
  <c r="T5" i="337" s="1"/>
  <c r="K5" i="337"/>
  <c r="U4" i="337"/>
  <c r="T4" i="337"/>
  <c r="S4" i="337"/>
  <c r="Q4" i="337"/>
  <c r="K4" i="337"/>
  <c r="AE3" i="337"/>
  <c r="V3" i="337"/>
  <c r="U3" i="337"/>
  <c r="S3" i="337"/>
  <c r="Q3" i="337"/>
  <c r="T3" i="337" s="1"/>
  <c r="K3" i="337"/>
  <c r="U2" i="337"/>
  <c r="T2" i="337"/>
  <c r="Q2" i="337"/>
  <c r="K2" i="337"/>
  <c r="W11" i="341" l="1"/>
  <c r="X10" i="341"/>
  <c r="X7" i="340"/>
  <c r="W8" i="340"/>
  <c r="AG3" i="339"/>
  <c r="AA5" i="339"/>
  <c r="AF4" i="339"/>
  <c r="AG4" i="339"/>
  <c r="L2" i="339"/>
  <c r="AF80" i="339"/>
  <c r="Z62" i="339"/>
  <c r="AD59" i="339"/>
  <c r="AE79" i="339" s="1"/>
  <c r="AF79" i="339" s="1"/>
  <c r="Z61" i="339"/>
  <c r="AB17" i="339" s="1"/>
  <c r="AB81" i="339"/>
  <c r="AD78" i="339"/>
  <c r="Z5" i="339"/>
  <c r="AE78" i="339"/>
  <c r="W4" i="339"/>
  <c r="AF5" i="339"/>
  <c r="O76" i="338"/>
  <c r="Z14" i="338"/>
  <c r="Z18" i="338" s="1"/>
  <c r="Z24" i="338" s="1"/>
  <c r="W2" i="338" s="1"/>
  <c r="O64" i="338"/>
  <c r="AA69" i="338"/>
  <c r="H109" i="338"/>
  <c r="H111" i="338" s="1"/>
  <c r="AC35" i="337"/>
  <c r="O34" i="338"/>
  <c r="AA10" i="338"/>
  <c r="O50" i="338"/>
  <c r="O45" i="338"/>
  <c r="AB95" i="338"/>
  <c r="AC42" i="338"/>
  <c r="O79" i="338"/>
  <c r="O42" i="338"/>
  <c r="AB92" i="338"/>
  <c r="AB100" i="338"/>
  <c r="T105" i="338"/>
  <c r="AB4" i="338" s="1"/>
  <c r="AB5" i="338" s="1"/>
  <c r="V7" i="338"/>
  <c r="V105" i="338" s="1"/>
  <c r="O87" i="338"/>
  <c r="O93" i="338"/>
  <c r="O92" i="338"/>
  <c r="O91" i="338"/>
  <c r="O85" i="338"/>
  <c r="O86" i="338"/>
  <c r="O90" i="338"/>
  <c r="O75" i="338"/>
  <c r="O65" i="338"/>
  <c r="O68" i="338"/>
  <c r="AC37" i="338"/>
  <c r="O49" i="338"/>
  <c r="O37" i="338"/>
  <c r="Z60" i="338"/>
  <c r="AA35" i="338"/>
  <c r="AD5" i="338"/>
  <c r="AA34" i="338" s="1"/>
  <c r="AB34" i="338" s="1"/>
  <c r="O58" i="338"/>
  <c r="O30" i="338"/>
  <c r="AD36" i="338"/>
  <c r="AE36" i="338" s="1"/>
  <c r="AD35" i="338"/>
  <c r="O55" i="338"/>
  <c r="O36" i="338"/>
  <c r="O84" i="338"/>
  <c r="O83" i="338"/>
  <c r="O73" i="338"/>
  <c r="O67" i="338"/>
  <c r="O66" i="338"/>
  <c r="O63" i="338"/>
  <c r="O60" i="338"/>
  <c r="O57" i="338"/>
  <c r="O71" i="338"/>
  <c r="O69" i="338"/>
  <c r="O61" i="338"/>
  <c r="O78" i="338"/>
  <c r="O74" i="338"/>
  <c r="O59" i="338"/>
  <c r="R105" i="338"/>
  <c r="O72" i="338"/>
  <c r="O54" i="338"/>
  <c r="O46" i="338"/>
  <c r="O39" i="338"/>
  <c r="O43" i="338"/>
  <c r="O41" i="338"/>
  <c r="O33" i="338"/>
  <c r="O31" i="338"/>
  <c r="O47" i="338"/>
  <c r="O44" i="338"/>
  <c r="K105" i="338"/>
  <c r="K108" i="338" s="1"/>
  <c r="K110" i="338" s="1"/>
  <c r="O88" i="338"/>
  <c r="O89" i="338"/>
  <c r="O77" i="338"/>
  <c r="O98" i="338"/>
  <c r="O96" i="338"/>
  <c r="O103" i="338"/>
  <c r="O101" i="338"/>
  <c r="O97" i="338"/>
  <c r="O95" i="338"/>
  <c r="O102" i="338"/>
  <c r="O100" i="338"/>
  <c r="O99" i="338"/>
  <c r="O94" i="338"/>
  <c r="O80" i="338"/>
  <c r="O38" i="338"/>
  <c r="O70" i="338"/>
  <c r="O35" i="338"/>
  <c r="O81" i="338"/>
  <c r="O56" i="338"/>
  <c r="O53" i="338"/>
  <c r="N2" i="338"/>
  <c r="O7" i="338" s="1"/>
  <c r="S105" i="338"/>
  <c r="AC4" i="338" s="1"/>
  <c r="AB86" i="337"/>
  <c r="AC86" i="337" s="1"/>
  <c r="AD86" i="337" s="1"/>
  <c r="AD87" i="337" s="1"/>
  <c r="AD88" i="337" s="1"/>
  <c r="AC42" i="337"/>
  <c r="V19" i="337"/>
  <c r="O29" i="337"/>
  <c r="AB95" i="337"/>
  <c r="AD36" i="337"/>
  <c r="AD35" i="337"/>
  <c r="AD37" i="337" s="1"/>
  <c r="AB36" i="337"/>
  <c r="AA36" i="337"/>
  <c r="O59" i="337"/>
  <c r="O77" i="337"/>
  <c r="AA69" i="337"/>
  <c r="AE34" i="337"/>
  <c r="O75" i="337"/>
  <c r="Q105" i="337"/>
  <c r="S2" i="337"/>
  <c r="AA92" i="337"/>
  <c r="AB42" i="337"/>
  <c r="Z14" i="337"/>
  <c r="R50" i="337"/>
  <c r="R105" i="337" s="1"/>
  <c r="R51" i="337"/>
  <c r="N56" i="337"/>
  <c r="O70" i="337" s="1"/>
  <c r="AA61" i="337"/>
  <c r="AN74" i="337"/>
  <c r="AO73" i="337"/>
  <c r="O74" i="337"/>
  <c r="AC81" i="337"/>
  <c r="O88" i="337"/>
  <c r="O90" i="337"/>
  <c r="O102" i="337"/>
  <c r="O100" i="337"/>
  <c r="O94" i="337"/>
  <c r="O103" i="337"/>
  <c r="O97" i="337"/>
  <c r="O96" i="337"/>
  <c r="O101" i="337"/>
  <c r="I105" i="337"/>
  <c r="O3" i="337"/>
  <c r="V4" i="337"/>
  <c r="V6" i="337"/>
  <c r="K7" i="337"/>
  <c r="T7" i="337"/>
  <c r="V7" i="337" s="1"/>
  <c r="T9" i="337"/>
  <c r="V9" i="337" s="1"/>
  <c r="AC61" i="337"/>
  <c r="AA68" i="337" s="1"/>
  <c r="AC58" i="337"/>
  <c r="V18" i="337"/>
  <c r="V21" i="337"/>
  <c r="N27" i="337"/>
  <c r="O44" i="337" s="1"/>
  <c r="AC36" i="337"/>
  <c r="Z37" i="337"/>
  <c r="O43" i="337"/>
  <c r="N50" i="337"/>
  <c r="R54" i="337"/>
  <c r="O89" i="337"/>
  <c r="O92" i="337"/>
  <c r="O95" i="337"/>
  <c r="AB99" i="337"/>
  <c r="N2" i="337"/>
  <c r="O5" i="337" s="1"/>
  <c r="U105" i="337"/>
  <c r="AD4" i="337" s="1"/>
  <c r="AA9" i="337"/>
  <c r="V12" i="337"/>
  <c r="O13" i="337"/>
  <c r="AA15" i="337"/>
  <c r="AB98" i="337"/>
  <c r="V20" i="337"/>
  <c r="V32" i="337"/>
  <c r="AB100" i="337"/>
  <c r="V42" i="337"/>
  <c r="R52" i="337"/>
  <c r="O55" i="337"/>
  <c r="V58" i="337"/>
  <c r="AA62" i="337"/>
  <c r="V75" i="337"/>
  <c r="T105" i="337"/>
  <c r="AB4" i="337" s="1"/>
  <c r="V82" i="337"/>
  <c r="O83" i="337"/>
  <c r="O85" i="337"/>
  <c r="V90" i="337"/>
  <c r="O91" i="337"/>
  <c r="V95" i="337"/>
  <c r="AB93" i="337"/>
  <c r="O62" i="337"/>
  <c r="V64" i="337"/>
  <c r="O65" i="337"/>
  <c r="V72" i="337"/>
  <c r="V80" i="337"/>
  <c r="O93" i="337"/>
  <c r="V101" i="337"/>
  <c r="AD7" i="336"/>
  <c r="X11" i="341" l="1"/>
  <c r="W12" i="341"/>
  <c r="X8" i="340"/>
  <c r="W9" i="340"/>
  <c r="AG5" i="339"/>
  <c r="L3" i="339"/>
  <c r="X2" i="339"/>
  <c r="AD62" i="339"/>
  <c r="AD61" i="339"/>
  <c r="W5" i="339"/>
  <c r="AF78" i="339"/>
  <c r="AF81" i="339" s="1"/>
  <c r="AE81" i="339"/>
  <c r="AK75" i="339"/>
  <c r="AD81" i="339"/>
  <c r="AA3" i="338"/>
  <c r="AF3" i="338" s="1"/>
  <c r="Z13" i="338"/>
  <c r="Z3" i="338" s="1"/>
  <c r="AA4" i="338"/>
  <c r="AG4" i="338" s="1"/>
  <c r="AE35" i="337"/>
  <c r="AD37" i="338"/>
  <c r="AE35" i="338"/>
  <c r="AE37" i="338" s="1"/>
  <c r="AE4" i="338"/>
  <c r="Z58" i="338"/>
  <c r="AB78" i="338" s="1"/>
  <c r="AA37" i="338"/>
  <c r="AB37" i="338" s="1"/>
  <c r="AB35" i="338"/>
  <c r="AB80" i="338"/>
  <c r="AD80" i="338" s="1"/>
  <c r="AK77" i="338" s="1"/>
  <c r="AL77" i="338" s="1"/>
  <c r="AD60" i="338"/>
  <c r="AE80" i="338" s="1"/>
  <c r="Z53" i="338"/>
  <c r="Z59" i="338"/>
  <c r="AC5" i="338"/>
  <c r="AE5" i="338" s="1"/>
  <c r="N105" i="338"/>
  <c r="O22" i="338"/>
  <c r="O29" i="338"/>
  <c r="O19" i="338"/>
  <c r="O26" i="338"/>
  <c r="O25" i="338"/>
  <c r="O5" i="338"/>
  <c r="O17" i="338"/>
  <c r="O13" i="338"/>
  <c r="O8" i="338"/>
  <c r="O28" i="338"/>
  <c r="O4" i="338"/>
  <c r="O3" i="338"/>
  <c r="O6" i="338"/>
  <c r="O9" i="338"/>
  <c r="O24" i="338"/>
  <c r="O27" i="338"/>
  <c r="O16" i="338"/>
  <c r="O10" i="338"/>
  <c r="O12" i="338"/>
  <c r="O20" i="338"/>
  <c r="O2" i="338"/>
  <c r="O14" i="338"/>
  <c r="O11" i="338"/>
  <c r="O15" i="338"/>
  <c r="W3" i="338"/>
  <c r="O53" i="337"/>
  <c r="O33" i="337"/>
  <c r="Z58" i="337"/>
  <c r="AB5" i="337"/>
  <c r="AA35" i="337"/>
  <c r="AD28" i="337"/>
  <c r="AD5" i="337"/>
  <c r="AA34" i="337" s="1"/>
  <c r="AB34" i="337" s="1"/>
  <c r="Z60" i="337"/>
  <c r="AF10" i="337"/>
  <c r="AF9" i="337" s="1"/>
  <c r="O45" i="337"/>
  <c r="O37" i="337"/>
  <c r="O35" i="337"/>
  <c r="O30" i="337"/>
  <c r="O42" i="337"/>
  <c r="O38" i="337"/>
  <c r="O36" i="337"/>
  <c r="O32" i="337"/>
  <c r="O54" i="337"/>
  <c r="O49" i="337"/>
  <c r="O41" i="337"/>
  <c r="O31" i="337"/>
  <c r="Z13" i="337"/>
  <c r="AA4" i="337"/>
  <c r="AA3" i="337"/>
  <c r="Z18" i="337"/>
  <c r="Z24" i="337" s="1"/>
  <c r="S105" i="337"/>
  <c r="AC4" i="337" s="1"/>
  <c r="AB97" i="337"/>
  <c r="V2" i="337"/>
  <c r="V105" i="337" s="1"/>
  <c r="O56" i="337"/>
  <c r="O34" i="337"/>
  <c r="N105" i="337"/>
  <c r="O11" i="337"/>
  <c r="O16" i="337"/>
  <c r="O24" i="337"/>
  <c r="O20" i="337"/>
  <c r="O12" i="337"/>
  <c r="O9" i="337"/>
  <c r="O6" i="337"/>
  <c r="O15" i="337"/>
  <c r="O19" i="337"/>
  <c r="O4" i="337"/>
  <c r="O2" i="337"/>
  <c r="O26" i="337"/>
  <c r="O7" i="337"/>
  <c r="AB92" i="337"/>
  <c r="O50" i="337"/>
  <c r="O8" i="337"/>
  <c r="O10" i="337"/>
  <c r="O14" i="337"/>
  <c r="O27" i="337"/>
  <c r="O17" i="337"/>
  <c r="AE36" i="337"/>
  <c r="AE37" i="337" s="1"/>
  <c r="AC37" i="337"/>
  <c r="O22" i="337"/>
  <c r="K105" i="337"/>
  <c r="K108" i="337" s="1"/>
  <c r="O39" i="337"/>
  <c r="O73" i="337"/>
  <c r="O69" i="337"/>
  <c r="O78" i="337"/>
  <c r="O61" i="337"/>
  <c r="O80" i="337"/>
  <c r="O72" i="337"/>
  <c r="O71" i="337"/>
  <c r="O57" i="337"/>
  <c r="O67" i="337"/>
  <c r="O64" i="337"/>
  <c r="O63" i="337"/>
  <c r="O60" i="337"/>
  <c r="O58" i="337"/>
  <c r="O66" i="337"/>
  <c r="O28" i="337"/>
  <c r="O68" i="337"/>
  <c r="O47" i="337"/>
  <c r="O46" i="337"/>
  <c r="O25" i="337"/>
  <c r="O79" i="337"/>
  <c r="O76" i="337"/>
  <c r="S55" i="336"/>
  <c r="S54" i="336"/>
  <c r="S51" i="336"/>
  <c r="S50" i="336"/>
  <c r="I7" i="336"/>
  <c r="H7" i="336"/>
  <c r="Z9" i="336"/>
  <c r="AA9" i="336" s="1"/>
  <c r="U123" i="336"/>
  <c r="M105" i="336"/>
  <c r="J105" i="336"/>
  <c r="U103" i="336"/>
  <c r="T103" i="336"/>
  <c r="S103" i="336"/>
  <c r="Q103" i="336"/>
  <c r="K103" i="336"/>
  <c r="AA102" i="336"/>
  <c r="U102" i="336"/>
  <c r="T102" i="336"/>
  <c r="S102" i="336"/>
  <c r="Q102" i="336"/>
  <c r="K102" i="336"/>
  <c r="U101" i="336"/>
  <c r="T101" i="336"/>
  <c r="S101" i="336"/>
  <c r="Q101" i="336"/>
  <c r="K101" i="336"/>
  <c r="AA100" i="336"/>
  <c r="U100" i="336"/>
  <c r="T100" i="336"/>
  <c r="S100" i="336"/>
  <c r="Q100" i="336"/>
  <c r="K100" i="336"/>
  <c r="AA99" i="336"/>
  <c r="U99" i="336"/>
  <c r="T99" i="336"/>
  <c r="S99" i="336"/>
  <c r="Q99" i="336"/>
  <c r="K99" i="336"/>
  <c r="AA98" i="336"/>
  <c r="U98" i="336"/>
  <c r="T98" i="336"/>
  <c r="S98" i="336"/>
  <c r="Q98" i="336"/>
  <c r="K98" i="336"/>
  <c r="U97" i="336"/>
  <c r="T97" i="336"/>
  <c r="S97" i="336"/>
  <c r="Q97" i="336"/>
  <c r="K97" i="336"/>
  <c r="U96" i="336"/>
  <c r="T96" i="336"/>
  <c r="S96" i="336"/>
  <c r="Q96" i="336"/>
  <c r="K96" i="336"/>
  <c r="AA95" i="336"/>
  <c r="U95" i="336"/>
  <c r="T95" i="336"/>
  <c r="S95" i="336"/>
  <c r="Q95" i="336"/>
  <c r="K95" i="336"/>
  <c r="AA94" i="336"/>
  <c r="U94" i="336"/>
  <c r="T94" i="336"/>
  <c r="S94" i="336"/>
  <c r="Q94" i="336"/>
  <c r="K94" i="336"/>
  <c r="AA93" i="336"/>
  <c r="U93" i="336"/>
  <c r="T93" i="336"/>
  <c r="S93" i="336"/>
  <c r="Q93" i="336"/>
  <c r="K93" i="336"/>
  <c r="U92" i="336"/>
  <c r="T92" i="336"/>
  <c r="S92" i="336"/>
  <c r="Q92" i="336"/>
  <c r="K92" i="336"/>
  <c r="U91" i="336"/>
  <c r="T91" i="336"/>
  <c r="S91" i="336"/>
  <c r="Q91" i="336"/>
  <c r="K91" i="336"/>
  <c r="U90" i="336"/>
  <c r="T90" i="336"/>
  <c r="S90" i="336"/>
  <c r="Q90" i="336"/>
  <c r="K90" i="336"/>
  <c r="U89" i="336"/>
  <c r="T89" i="336"/>
  <c r="S89" i="336"/>
  <c r="Q89" i="336"/>
  <c r="K89" i="336"/>
  <c r="U88" i="336"/>
  <c r="T88" i="336"/>
  <c r="S88" i="336"/>
  <c r="Q88" i="336"/>
  <c r="K88" i="336"/>
  <c r="AE87" i="336"/>
  <c r="AF86" i="336" s="1"/>
  <c r="AG86" i="336" s="1"/>
  <c r="AH86" i="336" s="1"/>
  <c r="AH87" i="336" s="1"/>
  <c r="AH88" i="336" s="1"/>
  <c r="AA87" i="336"/>
  <c r="Y87" i="336"/>
  <c r="U87" i="336"/>
  <c r="T87" i="336"/>
  <c r="S87" i="336"/>
  <c r="Q87" i="336"/>
  <c r="K87" i="336"/>
  <c r="U86" i="336"/>
  <c r="T86" i="336"/>
  <c r="S86" i="336"/>
  <c r="Q86" i="336"/>
  <c r="K86" i="336"/>
  <c r="U85" i="336"/>
  <c r="T85" i="336"/>
  <c r="S85" i="336"/>
  <c r="Q85" i="336"/>
  <c r="K85" i="336"/>
  <c r="U84" i="336"/>
  <c r="T84" i="336"/>
  <c r="S84" i="336"/>
  <c r="Q84" i="336"/>
  <c r="K84" i="336"/>
  <c r="U83" i="336"/>
  <c r="T83" i="336"/>
  <c r="S83" i="336"/>
  <c r="Q83" i="336"/>
  <c r="K83" i="336"/>
  <c r="U82" i="336"/>
  <c r="T82" i="336"/>
  <c r="S82" i="336"/>
  <c r="Q82" i="336"/>
  <c r="K82" i="336"/>
  <c r="AA81" i="336"/>
  <c r="AA86" i="336" s="1"/>
  <c r="AB86" i="336" s="1"/>
  <c r="AC86" i="336" s="1"/>
  <c r="AD86" i="336" s="1"/>
  <c r="AD87" i="336" s="1"/>
  <c r="AD88" i="336" s="1"/>
  <c r="Z81" i="336"/>
  <c r="U81" i="336"/>
  <c r="T81" i="336"/>
  <c r="S81" i="336"/>
  <c r="Q81" i="336"/>
  <c r="K81" i="336"/>
  <c r="AI80" i="336"/>
  <c r="U80" i="336"/>
  <c r="T80" i="336"/>
  <c r="S80" i="336"/>
  <c r="Q80" i="336"/>
  <c r="K80" i="336"/>
  <c r="AI79" i="336"/>
  <c r="U79" i="336"/>
  <c r="T79" i="336"/>
  <c r="S79" i="336"/>
  <c r="Q79" i="336"/>
  <c r="K79" i="336"/>
  <c r="AI78" i="336"/>
  <c r="U78" i="336"/>
  <c r="T78" i="336"/>
  <c r="S78" i="336"/>
  <c r="Q78" i="336"/>
  <c r="K78" i="336"/>
  <c r="U77" i="336"/>
  <c r="T77" i="336"/>
  <c r="S77" i="336"/>
  <c r="Q77" i="336"/>
  <c r="K77" i="336"/>
  <c r="U76" i="336"/>
  <c r="T76" i="336"/>
  <c r="S76" i="336"/>
  <c r="Q76" i="336"/>
  <c r="K76" i="336"/>
  <c r="U75" i="336"/>
  <c r="T75" i="336"/>
  <c r="S75" i="336"/>
  <c r="Q75" i="336"/>
  <c r="K75" i="336"/>
  <c r="U74" i="336"/>
  <c r="T74" i="336"/>
  <c r="S74" i="336"/>
  <c r="Q74" i="336"/>
  <c r="K74" i="336"/>
  <c r="AP73" i="336"/>
  <c r="AQ73" i="336" s="1"/>
  <c r="AD73" i="336"/>
  <c r="AM72" i="336" s="1"/>
  <c r="AN73" i="336" s="1"/>
  <c r="Z73" i="336"/>
  <c r="U73" i="336"/>
  <c r="T73" i="336"/>
  <c r="S73" i="336"/>
  <c r="Q73" i="336"/>
  <c r="K73" i="336"/>
  <c r="Z72" i="336"/>
  <c r="U72" i="336"/>
  <c r="T72" i="336"/>
  <c r="S72" i="336"/>
  <c r="Q72" i="336"/>
  <c r="K72" i="336"/>
  <c r="U71" i="336"/>
  <c r="T71" i="336"/>
  <c r="S71" i="336"/>
  <c r="Q71" i="336"/>
  <c r="K71" i="336"/>
  <c r="U70" i="336"/>
  <c r="T70" i="336"/>
  <c r="S70" i="336"/>
  <c r="Q70" i="336"/>
  <c r="K70" i="336"/>
  <c r="U69" i="336"/>
  <c r="T69" i="336"/>
  <c r="S69" i="336"/>
  <c r="Q69" i="336"/>
  <c r="K69" i="336"/>
  <c r="U68" i="336"/>
  <c r="T68" i="336"/>
  <c r="S68" i="336"/>
  <c r="Q68" i="336"/>
  <c r="K68" i="336"/>
  <c r="AA67" i="336"/>
  <c r="U67" i="336"/>
  <c r="T67" i="336"/>
  <c r="S67" i="336"/>
  <c r="Q67" i="336"/>
  <c r="K67" i="336"/>
  <c r="U66" i="336"/>
  <c r="T66" i="336"/>
  <c r="S66" i="336"/>
  <c r="Q66" i="336"/>
  <c r="K66" i="336"/>
  <c r="U65" i="336"/>
  <c r="T65" i="336"/>
  <c r="S65" i="336"/>
  <c r="Q65" i="336"/>
  <c r="K65" i="336"/>
  <c r="U64" i="336"/>
  <c r="T64" i="336"/>
  <c r="S64" i="336"/>
  <c r="Q64" i="336"/>
  <c r="K64" i="336"/>
  <c r="U63" i="336"/>
  <c r="T63" i="336"/>
  <c r="S63" i="336"/>
  <c r="Q63" i="336"/>
  <c r="K63" i="336"/>
  <c r="AC62" i="336"/>
  <c r="U62" i="336"/>
  <c r="T62" i="336"/>
  <c r="S62" i="336"/>
  <c r="Q62" i="336"/>
  <c r="K62" i="336"/>
  <c r="U61" i="336"/>
  <c r="T61" i="336"/>
  <c r="S61" i="336"/>
  <c r="Q61" i="336"/>
  <c r="K61" i="336"/>
  <c r="AA60" i="336"/>
  <c r="U60" i="336"/>
  <c r="T60" i="336"/>
  <c r="S60" i="336"/>
  <c r="Q60" i="336"/>
  <c r="K60" i="336"/>
  <c r="AB59" i="336"/>
  <c r="AA59" i="336"/>
  <c r="AC79" i="336" s="1"/>
  <c r="U59" i="336"/>
  <c r="T59" i="336"/>
  <c r="S59" i="336"/>
  <c r="Q59" i="336"/>
  <c r="K59" i="336"/>
  <c r="AB58" i="336"/>
  <c r="AA58" i="336"/>
  <c r="U58" i="336"/>
  <c r="T58" i="336"/>
  <c r="S58" i="336"/>
  <c r="Q58" i="336"/>
  <c r="K58" i="336"/>
  <c r="U57" i="336"/>
  <c r="T57" i="336"/>
  <c r="S57" i="336"/>
  <c r="Q57" i="336"/>
  <c r="K57" i="336"/>
  <c r="U56" i="336"/>
  <c r="T56" i="336"/>
  <c r="S56" i="336"/>
  <c r="Q56" i="336"/>
  <c r="K56" i="336"/>
  <c r="Y55" i="336"/>
  <c r="U55" i="336"/>
  <c r="Q55" i="336"/>
  <c r="K55" i="336"/>
  <c r="U54" i="336"/>
  <c r="T54" i="336"/>
  <c r="Q54" i="336"/>
  <c r="K54" i="336"/>
  <c r="Y53" i="336"/>
  <c r="U53" i="336"/>
  <c r="T53" i="336"/>
  <c r="Q53" i="336"/>
  <c r="S53" i="336" s="1"/>
  <c r="K53" i="336"/>
  <c r="U52" i="336"/>
  <c r="T52" i="336"/>
  <c r="S52" i="336"/>
  <c r="Q52" i="336"/>
  <c r="K52" i="336"/>
  <c r="Y51" i="336"/>
  <c r="U51" i="336"/>
  <c r="T51" i="336"/>
  <c r="Q51" i="336"/>
  <c r="K51" i="336"/>
  <c r="AB50" i="336"/>
  <c r="U50" i="336"/>
  <c r="T50" i="336"/>
  <c r="Q50" i="336"/>
  <c r="K50" i="336"/>
  <c r="Y49" i="336"/>
  <c r="Z49" i="336" s="1"/>
  <c r="U49" i="336"/>
  <c r="T49" i="336"/>
  <c r="S49" i="336"/>
  <c r="Q49" i="336"/>
  <c r="K49" i="336"/>
  <c r="Y48" i="336"/>
  <c r="Z48" i="336" s="1"/>
  <c r="U48" i="336"/>
  <c r="T48" i="336"/>
  <c r="S48" i="336"/>
  <c r="Q48" i="336"/>
  <c r="K48" i="336"/>
  <c r="U47" i="336"/>
  <c r="T47" i="336"/>
  <c r="S47" i="336"/>
  <c r="Q47" i="336"/>
  <c r="K47" i="336"/>
  <c r="U46" i="336"/>
  <c r="T46" i="336"/>
  <c r="Q46" i="336"/>
  <c r="S46" i="336" s="1"/>
  <c r="K46" i="336"/>
  <c r="AB45" i="336"/>
  <c r="AA45" i="336"/>
  <c r="U45" i="336"/>
  <c r="T45" i="336"/>
  <c r="S45" i="336"/>
  <c r="Q45" i="336"/>
  <c r="K45" i="336"/>
  <c r="AB44" i="336"/>
  <c r="AA44" i="336"/>
  <c r="U44" i="336"/>
  <c r="T44" i="336"/>
  <c r="S44" i="336"/>
  <c r="Q44" i="336"/>
  <c r="K44" i="336"/>
  <c r="AB43" i="336"/>
  <c r="AA43" i="336"/>
  <c r="U43" i="336"/>
  <c r="T43" i="336"/>
  <c r="S43" i="336"/>
  <c r="Q43" i="336"/>
  <c r="K43" i="336"/>
  <c r="U42" i="336"/>
  <c r="T42" i="336"/>
  <c r="S42" i="336"/>
  <c r="Q42" i="336"/>
  <c r="K42" i="336"/>
  <c r="U41" i="336"/>
  <c r="T41" i="336"/>
  <c r="S41" i="336"/>
  <c r="Q41" i="336"/>
  <c r="K41" i="336"/>
  <c r="U40" i="336"/>
  <c r="T40" i="336"/>
  <c r="S40" i="336"/>
  <c r="K40" i="336"/>
  <c r="U39" i="336"/>
  <c r="T39" i="336"/>
  <c r="S39" i="336"/>
  <c r="Q39" i="336"/>
  <c r="K39" i="336"/>
  <c r="U38" i="336"/>
  <c r="T38" i="336"/>
  <c r="Q38" i="336"/>
  <c r="S38" i="336" s="1"/>
  <c r="K38" i="336"/>
  <c r="U37" i="336"/>
  <c r="T37" i="336"/>
  <c r="S37" i="336"/>
  <c r="Q37" i="336"/>
  <c r="K37" i="336"/>
  <c r="Z36" i="336"/>
  <c r="AA36" i="336" s="1"/>
  <c r="AB36" i="336" s="1"/>
  <c r="U36" i="336"/>
  <c r="T36" i="336"/>
  <c r="S36" i="336"/>
  <c r="Q36" i="336"/>
  <c r="K36" i="336"/>
  <c r="Z35" i="336"/>
  <c r="U35" i="336"/>
  <c r="T35" i="336"/>
  <c r="S35" i="336"/>
  <c r="Q35" i="336"/>
  <c r="K35" i="336"/>
  <c r="AC34" i="336"/>
  <c r="AC36" i="336" s="1"/>
  <c r="U34" i="336"/>
  <c r="T34" i="336"/>
  <c r="S34" i="336"/>
  <c r="Q34" i="336"/>
  <c r="K34" i="336"/>
  <c r="U33" i="336"/>
  <c r="T33" i="336"/>
  <c r="S33" i="336"/>
  <c r="Q33" i="336"/>
  <c r="K33" i="336"/>
  <c r="U32" i="336"/>
  <c r="T32" i="336"/>
  <c r="S32" i="336"/>
  <c r="Q32" i="336"/>
  <c r="K32" i="336"/>
  <c r="U31" i="336"/>
  <c r="T31" i="336"/>
  <c r="S31" i="336"/>
  <c r="Q31" i="336"/>
  <c r="K31" i="336"/>
  <c r="Z30" i="336"/>
  <c r="U30" i="336"/>
  <c r="T30" i="336"/>
  <c r="S30" i="336"/>
  <c r="Q30" i="336"/>
  <c r="K30" i="336"/>
  <c r="U29" i="336"/>
  <c r="T29" i="336"/>
  <c r="S29" i="336"/>
  <c r="Q29" i="336"/>
  <c r="K29" i="336"/>
  <c r="AA28" i="336"/>
  <c r="U28" i="336"/>
  <c r="T28" i="336"/>
  <c r="S28" i="336"/>
  <c r="Q28" i="336"/>
  <c r="K28" i="336"/>
  <c r="AC27" i="336"/>
  <c r="AA27" i="336"/>
  <c r="U27" i="336"/>
  <c r="T27" i="336"/>
  <c r="S27" i="336"/>
  <c r="Q27" i="336"/>
  <c r="K27" i="336"/>
  <c r="AC26" i="336"/>
  <c r="AD26" i="336" s="1"/>
  <c r="AD27" i="336" s="1"/>
  <c r="T26" i="336"/>
  <c r="S26" i="336"/>
  <c r="Q26" i="336"/>
  <c r="U26" i="336" s="1"/>
  <c r="K26" i="336"/>
  <c r="AE25" i="336"/>
  <c r="U25" i="336"/>
  <c r="T25" i="336"/>
  <c r="Q25" i="336"/>
  <c r="S25" i="336" s="1"/>
  <c r="K25" i="336"/>
  <c r="U24" i="336"/>
  <c r="T24" i="336"/>
  <c r="Q24" i="336"/>
  <c r="S24" i="336" s="1"/>
  <c r="K24" i="336"/>
  <c r="U23" i="336"/>
  <c r="T23" i="336"/>
  <c r="S23" i="336"/>
  <c r="Q23" i="336"/>
  <c r="K23" i="336"/>
  <c r="U22" i="336"/>
  <c r="T22" i="336"/>
  <c r="Q22" i="336"/>
  <c r="S22" i="336" s="1"/>
  <c r="K22" i="336"/>
  <c r="U21" i="336"/>
  <c r="T21" i="336"/>
  <c r="S21" i="336"/>
  <c r="Q21" i="336"/>
  <c r="K21" i="336"/>
  <c r="U20" i="336"/>
  <c r="T20" i="336"/>
  <c r="Q20" i="336"/>
  <c r="S20" i="336" s="1"/>
  <c r="K20" i="336"/>
  <c r="U19" i="336"/>
  <c r="T19" i="336"/>
  <c r="Q19" i="336"/>
  <c r="S19" i="336" s="1"/>
  <c r="K19" i="336"/>
  <c r="U18" i="336"/>
  <c r="S18" i="336"/>
  <c r="AB99" i="336" s="1"/>
  <c r="Q18" i="336"/>
  <c r="T18" i="336" s="1"/>
  <c r="K18" i="336"/>
  <c r="U17" i="336"/>
  <c r="Q17" i="336"/>
  <c r="S17" i="336" s="1"/>
  <c r="K17" i="336"/>
  <c r="U16" i="336"/>
  <c r="T16" i="336"/>
  <c r="S16" i="336"/>
  <c r="K16" i="336"/>
  <c r="Z15" i="336"/>
  <c r="AA15" i="336" s="1"/>
  <c r="U15" i="336"/>
  <c r="T15" i="336"/>
  <c r="Q15" i="336"/>
  <c r="S15" i="336" s="1"/>
  <c r="K15" i="336"/>
  <c r="U14" i="336"/>
  <c r="T14" i="336"/>
  <c r="Q14" i="336"/>
  <c r="S14" i="336" s="1"/>
  <c r="K14" i="336"/>
  <c r="U13" i="336"/>
  <c r="T13" i="336"/>
  <c r="Q13" i="336"/>
  <c r="S13" i="336" s="1"/>
  <c r="K13" i="336"/>
  <c r="AC12" i="336"/>
  <c r="AB12" i="336"/>
  <c r="AA12" i="336"/>
  <c r="U12" i="336"/>
  <c r="T12" i="336"/>
  <c r="Q12" i="336"/>
  <c r="S12" i="336" s="1"/>
  <c r="K12" i="336"/>
  <c r="AE11" i="336"/>
  <c r="AF11" i="336" s="1"/>
  <c r="AA11" i="336"/>
  <c r="U11" i="336"/>
  <c r="T11" i="336"/>
  <c r="Q11" i="336"/>
  <c r="S11" i="336" s="1"/>
  <c r="K11" i="336"/>
  <c r="AE10" i="336"/>
  <c r="AB10" i="336"/>
  <c r="U10" i="336"/>
  <c r="Q10" i="336"/>
  <c r="S10" i="336" s="1"/>
  <c r="K10" i="336"/>
  <c r="U9" i="336"/>
  <c r="Q9" i="336"/>
  <c r="S9" i="336" s="1"/>
  <c r="K9" i="336"/>
  <c r="U8" i="336"/>
  <c r="T8" i="336"/>
  <c r="Q8" i="336"/>
  <c r="S8" i="336" s="1"/>
  <c r="K8" i="336"/>
  <c r="Z7" i="336"/>
  <c r="U7" i="336"/>
  <c r="Q7" i="336"/>
  <c r="K7" i="336"/>
  <c r="Z6" i="336"/>
  <c r="U6" i="336"/>
  <c r="T6" i="336"/>
  <c r="Q6" i="336"/>
  <c r="S6" i="336" s="1"/>
  <c r="K6" i="336"/>
  <c r="U5" i="336"/>
  <c r="S5" i="336"/>
  <c r="Q5" i="336"/>
  <c r="T5" i="336" s="1"/>
  <c r="K5" i="336"/>
  <c r="U4" i="336"/>
  <c r="S4" i="336"/>
  <c r="Q4" i="336"/>
  <c r="T4" i="336" s="1"/>
  <c r="K4" i="336"/>
  <c r="AE3" i="336"/>
  <c r="U3" i="336"/>
  <c r="S3" i="336"/>
  <c r="Q3" i="336"/>
  <c r="T3" i="336" s="1"/>
  <c r="K3" i="336"/>
  <c r="U2" i="336"/>
  <c r="T2" i="336"/>
  <c r="Q2" i="336"/>
  <c r="S2" i="336" s="1"/>
  <c r="K2" i="336"/>
  <c r="W13" i="341" l="1"/>
  <c r="X12" i="341"/>
  <c r="W10" i="340"/>
  <c r="X9" i="340"/>
  <c r="L4" i="339"/>
  <c r="X3" i="339"/>
  <c r="AL75" i="339"/>
  <c r="AL78" i="339" s="1"/>
  <c r="AK78" i="339"/>
  <c r="AL79" i="339" s="1"/>
  <c r="W6" i="339"/>
  <c r="AG3" i="338"/>
  <c r="AG5" i="338" s="1"/>
  <c r="Z4" i="338"/>
  <c r="Z5" i="338" s="1"/>
  <c r="AD58" i="338"/>
  <c r="AE78" i="338" s="1"/>
  <c r="AF4" i="338"/>
  <c r="AF5" i="338" s="1"/>
  <c r="L2" i="338"/>
  <c r="L3" i="338" s="1"/>
  <c r="L4" i="338" s="1"/>
  <c r="L5" i="338" s="1"/>
  <c r="L6" i="338" s="1"/>
  <c r="L7" i="338" s="1"/>
  <c r="L8" i="338" s="1"/>
  <c r="L9" i="338" s="1"/>
  <c r="L10" i="338" s="1"/>
  <c r="L11" i="338" s="1"/>
  <c r="L12" i="338" s="1"/>
  <c r="L13" i="338" s="1"/>
  <c r="L14" i="338" s="1"/>
  <c r="L15" i="338" s="1"/>
  <c r="L16" i="338" s="1"/>
  <c r="L17" i="338" s="1"/>
  <c r="L18" i="338" s="1"/>
  <c r="L19" i="338" s="1"/>
  <c r="L20" i="338" s="1"/>
  <c r="L21" i="338" s="1"/>
  <c r="L22" i="338" s="1"/>
  <c r="L23" i="338" s="1"/>
  <c r="L24" i="338" s="1"/>
  <c r="L25" i="338" s="1"/>
  <c r="L26" i="338" s="1"/>
  <c r="L27" i="338" s="1"/>
  <c r="L28" i="338" s="1"/>
  <c r="L29" i="338" s="1"/>
  <c r="L30" i="338" s="1"/>
  <c r="L31" i="338" s="1"/>
  <c r="L32" i="338" s="1"/>
  <c r="L33" i="338" s="1"/>
  <c r="L34" i="338" s="1"/>
  <c r="L35" i="338" s="1"/>
  <c r="L36" i="338" s="1"/>
  <c r="L37" i="338" s="1"/>
  <c r="L38" i="338" s="1"/>
  <c r="L39" i="338" s="1"/>
  <c r="L40" i="338" s="1"/>
  <c r="L41" i="338" s="1"/>
  <c r="L42" i="338" s="1"/>
  <c r="L43" i="338" s="1"/>
  <c r="L44" i="338" s="1"/>
  <c r="L45" i="338" s="1"/>
  <c r="L46" i="338" s="1"/>
  <c r="L47" i="338" s="1"/>
  <c r="L48" i="338" s="1"/>
  <c r="L49" i="338" s="1"/>
  <c r="L50" i="338" s="1"/>
  <c r="L51" i="338" s="1"/>
  <c r="L52" i="338" s="1"/>
  <c r="L53" i="338" s="1"/>
  <c r="L54" i="338" s="1"/>
  <c r="L55" i="338" s="1"/>
  <c r="L56" i="338" s="1"/>
  <c r="L57" i="338" s="1"/>
  <c r="L58" i="338" s="1"/>
  <c r="L59" i="338" s="1"/>
  <c r="L60" i="338" s="1"/>
  <c r="L61" i="338" s="1"/>
  <c r="L62" i="338" s="1"/>
  <c r="L63" i="338" s="1"/>
  <c r="L64" i="338" s="1"/>
  <c r="L65" i="338" s="1"/>
  <c r="L66" i="338" s="1"/>
  <c r="L67" i="338" s="1"/>
  <c r="L68" i="338" s="1"/>
  <c r="L69" i="338" s="1"/>
  <c r="L70" i="338" s="1"/>
  <c r="L71" i="338" s="1"/>
  <c r="L72" i="338" s="1"/>
  <c r="L73" i="338" s="1"/>
  <c r="L74" i="338" s="1"/>
  <c r="L75" i="338" s="1"/>
  <c r="L76" i="338" s="1"/>
  <c r="L77" i="338" s="1"/>
  <c r="L78" i="338" s="1"/>
  <c r="L79" i="338" s="1"/>
  <c r="L80" i="338" s="1"/>
  <c r="L81" i="338" s="1"/>
  <c r="L82" i="338" s="1"/>
  <c r="L83" i="338" s="1"/>
  <c r="L84" i="338" s="1"/>
  <c r="L85" i="338" s="1"/>
  <c r="L86" i="338" s="1"/>
  <c r="L87" i="338" s="1"/>
  <c r="L88" i="338" s="1"/>
  <c r="L89" i="338" s="1"/>
  <c r="L90" i="338" s="1"/>
  <c r="L91" i="338" s="1"/>
  <c r="L92" i="338" s="1"/>
  <c r="L93" i="338" s="1"/>
  <c r="L94" i="338" s="1"/>
  <c r="L95" i="338" s="1"/>
  <c r="L96" i="338" s="1"/>
  <c r="L97" i="338" s="1"/>
  <c r="L98" i="338" s="1"/>
  <c r="L99" i="338" s="1"/>
  <c r="L100" i="338" s="1"/>
  <c r="L101" i="338" s="1"/>
  <c r="L102" i="338" s="1"/>
  <c r="L103" i="338" s="1"/>
  <c r="L105" i="338" s="1"/>
  <c r="AA5" i="338"/>
  <c r="Z61" i="338"/>
  <c r="AB17" i="338" s="1"/>
  <c r="AF80" i="338"/>
  <c r="W4" i="338"/>
  <c r="AD78" i="338"/>
  <c r="AD59" i="338"/>
  <c r="AE79" i="338" s="1"/>
  <c r="AB79" i="338"/>
  <c r="AD79" i="338" s="1"/>
  <c r="AK76" i="338" s="1"/>
  <c r="AL76" i="338" s="1"/>
  <c r="Z62" i="338"/>
  <c r="AG3" i="337"/>
  <c r="AG5" i="337" s="1"/>
  <c r="AA5" i="337"/>
  <c r="AF3" i="337"/>
  <c r="L2" i="337"/>
  <c r="L3" i="337" s="1"/>
  <c r="L4" i="337" s="1"/>
  <c r="L5" i="337" s="1"/>
  <c r="L6" i="337" s="1"/>
  <c r="L7" i="337" s="1"/>
  <c r="L8" i="337" s="1"/>
  <c r="L9" i="337" s="1"/>
  <c r="L10" i="337" s="1"/>
  <c r="L11" i="337" s="1"/>
  <c r="L12" i="337" s="1"/>
  <c r="L13" i="337" s="1"/>
  <c r="L14" i="337" s="1"/>
  <c r="L15" i="337" s="1"/>
  <c r="L16" i="337" s="1"/>
  <c r="L17" i="337" s="1"/>
  <c r="L18" i="337" s="1"/>
  <c r="L19" i="337" s="1"/>
  <c r="L20" i="337" s="1"/>
  <c r="L21" i="337" s="1"/>
  <c r="L22" i="337" s="1"/>
  <c r="L23" i="337" s="1"/>
  <c r="L24" i="337" s="1"/>
  <c r="L25" i="337" s="1"/>
  <c r="L26" i="337" s="1"/>
  <c r="L27" i="337" s="1"/>
  <c r="L28" i="337" s="1"/>
  <c r="L29" i="337" s="1"/>
  <c r="L30" i="337" s="1"/>
  <c r="L31" i="337" s="1"/>
  <c r="L32" i="337" s="1"/>
  <c r="L33" i="337" s="1"/>
  <c r="L34" i="337" s="1"/>
  <c r="L35" i="337" s="1"/>
  <c r="L36" i="337" s="1"/>
  <c r="L37" i="337" s="1"/>
  <c r="L38" i="337" s="1"/>
  <c r="L39" i="337" s="1"/>
  <c r="L40" i="337" s="1"/>
  <c r="L41" i="337" s="1"/>
  <c r="L42" i="337" s="1"/>
  <c r="L43" i="337" s="1"/>
  <c r="L44" i="337" s="1"/>
  <c r="L45" i="337" s="1"/>
  <c r="L46" i="337" s="1"/>
  <c r="L47" i="337" s="1"/>
  <c r="L48" i="337" s="1"/>
  <c r="L49" i="337" s="1"/>
  <c r="L50" i="337" s="1"/>
  <c r="L51" i="337" s="1"/>
  <c r="L52" i="337" s="1"/>
  <c r="L53" i="337" s="1"/>
  <c r="L54" i="337" s="1"/>
  <c r="L55" i="337" s="1"/>
  <c r="L56" i="337" s="1"/>
  <c r="L57" i="337" s="1"/>
  <c r="L58" i="337" s="1"/>
  <c r="L59" i="337" s="1"/>
  <c r="L60" i="337" s="1"/>
  <c r="L61" i="337" s="1"/>
  <c r="L62" i="337" s="1"/>
  <c r="L63" i="337" s="1"/>
  <c r="L64" i="337" s="1"/>
  <c r="L65" i="337" s="1"/>
  <c r="L66" i="337" s="1"/>
  <c r="L67" i="337" s="1"/>
  <c r="L68" i="337" s="1"/>
  <c r="L69" i="337" s="1"/>
  <c r="L70" i="337" s="1"/>
  <c r="L71" i="337" s="1"/>
  <c r="L72" i="337" s="1"/>
  <c r="L73" i="337" s="1"/>
  <c r="L74" i="337" s="1"/>
  <c r="L75" i="337" s="1"/>
  <c r="L76" i="337" s="1"/>
  <c r="L77" i="337" s="1"/>
  <c r="L78" i="337" s="1"/>
  <c r="L79" i="337" s="1"/>
  <c r="L80" i="337" s="1"/>
  <c r="L81" i="337" s="1"/>
  <c r="L82" i="337" s="1"/>
  <c r="L83" i="337" s="1"/>
  <c r="L84" i="337" s="1"/>
  <c r="L85" i="337" s="1"/>
  <c r="L86" i="337" s="1"/>
  <c r="L87" i="337" s="1"/>
  <c r="L88" i="337" s="1"/>
  <c r="L89" i="337" s="1"/>
  <c r="L90" i="337" s="1"/>
  <c r="L91" i="337" s="1"/>
  <c r="L92" i="337" s="1"/>
  <c r="L93" i="337" s="1"/>
  <c r="L94" i="337" s="1"/>
  <c r="L95" i="337" s="1"/>
  <c r="L96" i="337" s="1"/>
  <c r="L97" i="337" s="1"/>
  <c r="L98" i="337" s="1"/>
  <c r="L99" i="337" s="1"/>
  <c r="L100" i="337" s="1"/>
  <c r="L101" i="337" s="1"/>
  <c r="L102" i="337" s="1"/>
  <c r="L103" i="337" s="1"/>
  <c r="L105" i="337" s="1"/>
  <c r="AF4" i="337"/>
  <c r="AG4" i="337"/>
  <c r="Z61" i="337"/>
  <c r="AD58" i="337"/>
  <c r="AB78" i="337"/>
  <c r="Z59" i="337"/>
  <c r="AC5" i="337"/>
  <c r="AE5" i="337" s="1"/>
  <c r="Z3" i="337"/>
  <c r="Z5" i="337" s="1"/>
  <c r="Z4" i="337"/>
  <c r="AE4" i="337"/>
  <c r="AB80" i="337"/>
  <c r="AD80" i="337" s="1"/>
  <c r="AK77" i="337" s="1"/>
  <c r="AL77" i="337" s="1"/>
  <c r="Z53" i="337"/>
  <c r="AD60" i="337"/>
  <c r="AE80" i="337" s="1"/>
  <c r="W2" i="337"/>
  <c r="AA37" i="337"/>
  <c r="AB37" i="337" s="1"/>
  <c r="AB35" i="337"/>
  <c r="Z10" i="336"/>
  <c r="AA10" i="336" s="1"/>
  <c r="V90" i="336"/>
  <c r="V92" i="336"/>
  <c r="V86" i="336"/>
  <c r="V99" i="336"/>
  <c r="AC43" i="336"/>
  <c r="V59" i="336"/>
  <c r="AB61" i="336"/>
  <c r="V95" i="336"/>
  <c r="V89" i="336"/>
  <c r="V91" i="336"/>
  <c r="V100" i="336"/>
  <c r="V48" i="336"/>
  <c r="V61" i="336"/>
  <c r="V66" i="336"/>
  <c r="V84" i="336"/>
  <c r="X84" i="336" s="1"/>
  <c r="V94" i="336"/>
  <c r="V16" i="336"/>
  <c r="V57" i="336"/>
  <c r="V77" i="336"/>
  <c r="N81" i="336"/>
  <c r="O82" i="336" s="1"/>
  <c r="V87" i="336"/>
  <c r="AC45" i="336"/>
  <c r="V67" i="336"/>
  <c r="V68" i="336"/>
  <c r="V73" i="336"/>
  <c r="V74" i="336"/>
  <c r="V60" i="336"/>
  <c r="V81" i="336"/>
  <c r="AB62" i="336"/>
  <c r="V71" i="336"/>
  <c r="V80" i="336"/>
  <c r="V21" i="336"/>
  <c r="V23" i="336"/>
  <c r="AB102" i="336"/>
  <c r="Z37" i="336"/>
  <c r="V39" i="336"/>
  <c r="V58" i="336"/>
  <c r="V70" i="336"/>
  <c r="V75" i="336"/>
  <c r="V78" i="336"/>
  <c r="V85" i="336"/>
  <c r="V88" i="336"/>
  <c r="V72" i="336"/>
  <c r="V98" i="336"/>
  <c r="AD34" i="336"/>
  <c r="V35" i="336"/>
  <c r="V45" i="336"/>
  <c r="V47" i="336"/>
  <c r="V49" i="336"/>
  <c r="V62" i="336"/>
  <c r="V63" i="336"/>
  <c r="V64" i="336"/>
  <c r="V65" i="336"/>
  <c r="V69" i="336"/>
  <c r="V76" i="336"/>
  <c r="V79" i="336"/>
  <c r="V82" i="336"/>
  <c r="V83" i="336"/>
  <c r="V93" i="336"/>
  <c r="V96" i="336"/>
  <c r="V97" i="336"/>
  <c r="V101" i="336"/>
  <c r="V102" i="336"/>
  <c r="AA62" i="336"/>
  <c r="V33" i="336"/>
  <c r="V31" i="336"/>
  <c r="V32" i="336"/>
  <c r="V44" i="336"/>
  <c r="V46" i="336"/>
  <c r="V30" i="336"/>
  <c r="V36" i="336"/>
  <c r="V37" i="336"/>
  <c r="V38" i="336"/>
  <c r="V41" i="336"/>
  <c r="V34" i="336"/>
  <c r="V42" i="336"/>
  <c r="AC44" i="336"/>
  <c r="V4" i="336"/>
  <c r="V5" i="336"/>
  <c r="V6" i="336"/>
  <c r="T10" i="336"/>
  <c r="V10" i="336" s="1"/>
  <c r="V25" i="336"/>
  <c r="V27" i="336"/>
  <c r="V3" i="336"/>
  <c r="T17" i="336"/>
  <c r="V11" i="336"/>
  <c r="V19" i="336"/>
  <c r="V8" i="336"/>
  <c r="V22" i="336"/>
  <c r="T7" i="336"/>
  <c r="V20" i="336"/>
  <c r="V13" i="336"/>
  <c r="V17" i="336"/>
  <c r="V24" i="336"/>
  <c r="V28" i="336"/>
  <c r="V50" i="336"/>
  <c r="AB93" i="336"/>
  <c r="AA61" i="336"/>
  <c r="V52" i="336"/>
  <c r="V54" i="336"/>
  <c r="AA97" i="336"/>
  <c r="H105" i="336"/>
  <c r="V12" i="336"/>
  <c r="N27" i="336"/>
  <c r="O38" i="336" s="1"/>
  <c r="U105" i="336"/>
  <c r="AD4" i="336" s="1"/>
  <c r="S7" i="336"/>
  <c r="AB97" i="336" s="1"/>
  <c r="AC58" i="336"/>
  <c r="AC61" i="336"/>
  <c r="AA69" i="336" s="1"/>
  <c r="V14" i="336"/>
  <c r="V15" i="336"/>
  <c r="AB94" i="336"/>
  <c r="V18" i="336"/>
  <c r="AA42" i="336"/>
  <c r="K105" i="336"/>
  <c r="K108" i="336" s="1"/>
  <c r="N2" i="336"/>
  <c r="O14" i="336" s="1"/>
  <c r="V2" i="336"/>
  <c r="T9" i="336"/>
  <c r="Q105" i="336"/>
  <c r="Z16" i="336"/>
  <c r="AA16" i="336" s="1"/>
  <c r="AE26" i="336"/>
  <c r="AE27" i="336" s="1"/>
  <c r="V56" i="336"/>
  <c r="N56" i="336"/>
  <c r="O59" i="336" s="1"/>
  <c r="AA92" i="336"/>
  <c r="I105" i="336"/>
  <c r="V26" i="336"/>
  <c r="AB42" i="336"/>
  <c r="V29" i="336"/>
  <c r="V40" i="336"/>
  <c r="V43" i="336"/>
  <c r="N50" i="336"/>
  <c r="AC35" i="336"/>
  <c r="AN74" i="336"/>
  <c r="AO73" i="336"/>
  <c r="AC78" i="336"/>
  <c r="N85" i="336"/>
  <c r="O87" i="336" s="1"/>
  <c r="V103" i="336"/>
  <c r="AB47" i="336"/>
  <c r="AC80" i="336"/>
  <c r="O84" i="336"/>
  <c r="N94" i="336"/>
  <c r="Q51" i="335"/>
  <c r="I7" i="335"/>
  <c r="H7" i="335"/>
  <c r="Z9" i="335"/>
  <c r="U123" i="335"/>
  <c r="M105" i="335"/>
  <c r="J105" i="335"/>
  <c r="U103" i="335"/>
  <c r="T103" i="335"/>
  <c r="S103" i="335"/>
  <c r="Q103" i="335"/>
  <c r="K103" i="335"/>
  <c r="AA102" i="335"/>
  <c r="U102" i="335"/>
  <c r="T102" i="335"/>
  <c r="S102" i="335"/>
  <c r="Q102" i="335"/>
  <c r="K102" i="335"/>
  <c r="U101" i="335"/>
  <c r="T101" i="335"/>
  <c r="S101" i="335"/>
  <c r="Q101" i="335"/>
  <c r="K101" i="335"/>
  <c r="AA100" i="335"/>
  <c r="U100" i="335"/>
  <c r="T100" i="335"/>
  <c r="S100" i="335"/>
  <c r="Q100" i="335"/>
  <c r="K100" i="335"/>
  <c r="AA99" i="335"/>
  <c r="U99" i="335"/>
  <c r="T99" i="335"/>
  <c r="S99" i="335"/>
  <c r="Q99" i="335"/>
  <c r="K99" i="335"/>
  <c r="AA98" i="335"/>
  <c r="U98" i="335"/>
  <c r="T98" i="335"/>
  <c r="S98" i="335"/>
  <c r="Q98" i="335"/>
  <c r="K98" i="335"/>
  <c r="U97" i="335"/>
  <c r="T97" i="335"/>
  <c r="S97" i="335"/>
  <c r="Q97" i="335"/>
  <c r="K97" i="335"/>
  <c r="U96" i="335"/>
  <c r="T96" i="335"/>
  <c r="S96" i="335"/>
  <c r="Q96" i="335"/>
  <c r="K96" i="335"/>
  <c r="AA95" i="335"/>
  <c r="U95" i="335"/>
  <c r="T95" i="335"/>
  <c r="S95" i="335"/>
  <c r="Q95" i="335"/>
  <c r="K95" i="335"/>
  <c r="AA94" i="335"/>
  <c r="U94" i="335"/>
  <c r="T94" i="335"/>
  <c r="S94" i="335"/>
  <c r="Q94" i="335"/>
  <c r="K94" i="335"/>
  <c r="AA93" i="335"/>
  <c r="U93" i="335"/>
  <c r="T93" i="335"/>
  <c r="S93" i="335"/>
  <c r="Q93" i="335"/>
  <c r="K93" i="335"/>
  <c r="AA92" i="335"/>
  <c r="U92" i="335"/>
  <c r="T92" i="335"/>
  <c r="S92" i="335"/>
  <c r="Q92" i="335"/>
  <c r="K92" i="335"/>
  <c r="U91" i="335"/>
  <c r="T91" i="335"/>
  <c r="S91" i="335"/>
  <c r="Q91" i="335"/>
  <c r="K91" i="335"/>
  <c r="U90" i="335"/>
  <c r="T90" i="335"/>
  <c r="S90" i="335"/>
  <c r="Q90" i="335"/>
  <c r="K90" i="335"/>
  <c r="U89" i="335"/>
  <c r="T89" i="335"/>
  <c r="S89" i="335"/>
  <c r="Q89" i="335"/>
  <c r="K89" i="335"/>
  <c r="U88" i="335"/>
  <c r="T88" i="335"/>
  <c r="S88" i="335"/>
  <c r="Q88" i="335"/>
  <c r="K88" i="335"/>
  <c r="AE87" i="335"/>
  <c r="AA87" i="335"/>
  <c r="Y87" i="335"/>
  <c r="U87" i="335"/>
  <c r="T87" i="335"/>
  <c r="S87" i="335"/>
  <c r="Q87" i="335"/>
  <c r="K87" i="335"/>
  <c r="AF86" i="335"/>
  <c r="AG86" i="335" s="1"/>
  <c r="AH86" i="335" s="1"/>
  <c r="AH87" i="335" s="1"/>
  <c r="AH88" i="335" s="1"/>
  <c r="U86" i="335"/>
  <c r="T86" i="335"/>
  <c r="S86" i="335"/>
  <c r="Q86" i="335"/>
  <c r="K86" i="335"/>
  <c r="U85" i="335"/>
  <c r="T85" i="335"/>
  <c r="S85" i="335"/>
  <c r="Q85" i="335"/>
  <c r="K85" i="335"/>
  <c r="U84" i="335"/>
  <c r="T84" i="335"/>
  <c r="S84" i="335"/>
  <c r="Q84" i="335"/>
  <c r="K84" i="335"/>
  <c r="U83" i="335"/>
  <c r="T83" i="335"/>
  <c r="S83" i="335"/>
  <c r="Q83" i="335"/>
  <c r="K83" i="335"/>
  <c r="U82" i="335"/>
  <c r="T82" i="335"/>
  <c r="S82" i="335"/>
  <c r="Q82" i="335"/>
  <c r="K82" i="335"/>
  <c r="AA81" i="335"/>
  <c r="AA86" i="335" s="1"/>
  <c r="Z81" i="335"/>
  <c r="U81" i="335"/>
  <c r="T81" i="335"/>
  <c r="S81" i="335"/>
  <c r="Q81" i="335"/>
  <c r="K81" i="335"/>
  <c r="AI80" i="335"/>
  <c r="U80" i="335"/>
  <c r="T80" i="335"/>
  <c r="S80" i="335"/>
  <c r="Q80" i="335"/>
  <c r="K80" i="335"/>
  <c r="AI79" i="335"/>
  <c r="U79" i="335"/>
  <c r="T79" i="335"/>
  <c r="S79" i="335"/>
  <c r="Q79" i="335"/>
  <c r="K79" i="335"/>
  <c r="AI78" i="335"/>
  <c r="U78" i="335"/>
  <c r="T78" i="335"/>
  <c r="S78" i="335"/>
  <c r="Q78" i="335"/>
  <c r="K78" i="335"/>
  <c r="U77" i="335"/>
  <c r="T77" i="335"/>
  <c r="S77" i="335"/>
  <c r="Q77" i="335"/>
  <c r="K77" i="335"/>
  <c r="U76" i="335"/>
  <c r="T76" i="335"/>
  <c r="S76" i="335"/>
  <c r="Q76" i="335"/>
  <c r="K76" i="335"/>
  <c r="U75" i="335"/>
  <c r="T75" i="335"/>
  <c r="S75" i="335"/>
  <c r="Q75" i="335"/>
  <c r="K75" i="335"/>
  <c r="U74" i="335"/>
  <c r="T74" i="335"/>
  <c r="S74" i="335"/>
  <c r="Q74" i="335"/>
  <c r="K74" i="335"/>
  <c r="AP73" i="335"/>
  <c r="AQ73" i="335" s="1"/>
  <c r="AD73" i="335"/>
  <c r="AM72" i="335" s="1"/>
  <c r="AN73" i="335" s="1"/>
  <c r="Z73" i="335"/>
  <c r="U73" i="335"/>
  <c r="T73" i="335"/>
  <c r="S73" i="335"/>
  <c r="Q73" i="335"/>
  <c r="K73" i="335"/>
  <c r="Z72" i="335"/>
  <c r="U72" i="335"/>
  <c r="T72" i="335"/>
  <c r="S72" i="335"/>
  <c r="Q72" i="335"/>
  <c r="K72" i="335"/>
  <c r="U71" i="335"/>
  <c r="T71" i="335"/>
  <c r="S71" i="335"/>
  <c r="Q71" i="335"/>
  <c r="K71" i="335"/>
  <c r="U70" i="335"/>
  <c r="T70" i="335"/>
  <c r="S70" i="335"/>
  <c r="Q70" i="335"/>
  <c r="K70" i="335"/>
  <c r="U69" i="335"/>
  <c r="T69" i="335"/>
  <c r="S69" i="335"/>
  <c r="Q69" i="335"/>
  <c r="K69" i="335"/>
  <c r="U68" i="335"/>
  <c r="T68" i="335"/>
  <c r="S68" i="335"/>
  <c r="Q68" i="335"/>
  <c r="K68" i="335"/>
  <c r="AA67" i="335"/>
  <c r="U67" i="335"/>
  <c r="T67" i="335"/>
  <c r="S67" i="335"/>
  <c r="Q67" i="335"/>
  <c r="K67" i="335"/>
  <c r="U66" i="335"/>
  <c r="T66" i="335"/>
  <c r="S66" i="335"/>
  <c r="Q66" i="335"/>
  <c r="K66" i="335"/>
  <c r="U65" i="335"/>
  <c r="T65" i="335"/>
  <c r="S65" i="335"/>
  <c r="Q65" i="335"/>
  <c r="K65" i="335"/>
  <c r="U64" i="335"/>
  <c r="T64" i="335"/>
  <c r="S64" i="335"/>
  <c r="Q64" i="335"/>
  <c r="K64" i="335"/>
  <c r="U63" i="335"/>
  <c r="T63" i="335"/>
  <c r="S63" i="335"/>
  <c r="Q63" i="335"/>
  <c r="K63" i="335"/>
  <c r="AC62" i="335"/>
  <c r="U62" i="335"/>
  <c r="T62" i="335"/>
  <c r="S62" i="335"/>
  <c r="Q62" i="335"/>
  <c r="K62" i="335"/>
  <c r="U61" i="335"/>
  <c r="T61" i="335"/>
  <c r="S61" i="335"/>
  <c r="Q61" i="335"/>
  <c r="K61" i="335"/>
  <c r="AA60" i="335"/>
  <c r="AB47" i="335" s="1"/>
  <c r="U60" i="335"/>
  <c r="T60" i="335"/>
  <c r="S60" i="335"/>
  <c r="Q60" i="335"/>
  <c r="K60" i="335"/>
  <c r="AB59" i="335"/>
  <c r="AA59" i="335"/>
  <c r="AC79" i="335" s="1"/>
  <c r="U59" i="335"/>
  <c r="T59" i="335"/>
  <c r="S59" i="335"/>
  <c r="Q59" i="335"/>
  <c r="K59" i="335"/>
  <c r="AB58" i="335"/>
  <c r="AA58" i="335"/>
  <c r="U58" i="335"/>
  <c r="T58" i="335"/>
  <c r="S58" i="335"/>
  <c r="Q58" i="335"/>
  <c r="K58" i="335"/>
  <c r="U57" i="335"/>
  <c r="T57" i="335"/>
  <c r="S57" i="335"/>
  <c r="Q57" i="335"/>
  <c r="K57" i="335"/>
  <c r="U56" i="335"/>
  <c r="T56" i="335"/>
  <c r="S56" i="335"/>
  <c r="Q56" i="335"/>
  <c r="K56" i="335"/>
  <c r="Y55" i="335"/>
  <c r="U55" i="335"/>
  <c r="S55" i="335"/>
  <c r="Q55" i="335"/>
  <c r="K55" i="335"/>
  <c r="U54" i="335"/>
  <c r="T54" i="335"/>
  <c r="S54" i="335"/>
  <c r="Q54" i="335"/>
  <c r="K54" i="335"/>
  <c r="Y53" i="335"/>
  <c r="U53" i="335"/>
  <c r="T53" i="335"/>
  <c r="Q53" i="335"/>
  <c r="K53" i="335"/>
  <c r="U52" i="335"/>
  <c r="T52" i="335"/>
  <c r="S52" i="335"/>
  <c r="Q52" i="335"/>
  <c r="K52" i="335"/>
  <c r="Y51" i="335"/>
  <c r="U51" i="335"/>
  <c r="T51" i="335"/>
  <c r="K51" i="335"/>
  <c r="AB50" i="335"/>
  <c r="U50" i="335"/>
  <c r="T50" i="335"/>
  <c r="S50" i="335"/>
  <c r="Q50" i="335"/>
  <c r="K50" i="335"/>
  <c r="Y49" i="335"/>
  <c r="Z49" i="335" s="1"/>
  <c r="U49" i="335"/>
  <c r="T49" i="335"/>
  <c r="S49" i="335"/>
  <c r="Q49" i="335"/>
  <c r="K49" i="335"/>
  <c r="Y48" i="335"/>
  <c r="Z48" i="335" s="1"/>
  <c r="U48" i="335"/>
  <c r="T48" i="335"/>
  <c r="S48" i="335"/>
  <c r="Q48" i="335"/>
  <c r="K48" i="335"/>
  <c r="U47" i="335"/>
  <c r="T47" i="335"/>
  <c r="S47" i="335"/>
  <c r="Q47" i="335"/>
  <c r="K47" i="335"/>
  <c r="U46" i="335"/>
  <c r="T46" i="335"/>
  <c r="Q46" i="335"/>
  <c r="S46" i="335" s="1"/>
  <c r="K46" i="335"/>
  <c r="AB45" i="335"/>
  <c r="AA45" i="335"/>
  <c r="U45" i="335"/>
  <c r="T45" i="335"/>
  <c r="S45" i="335"/>
  <c r="Q45" i="335"/>
  <c r="K45" i="335"/>
  <c r="AB44" i="335"/>
  <c r="AA44" i="335"/>
  <c r="U44" i="335"/>
  <c r="T44" i="335"/>
  <c r="S44" i="335"/>
  <c r="Q44" i="335"/>
  <c r="K44" i="335"/>
  <c r="AB43" i="335"/>
  <c r="AA43" i="335"/>
  <c r="U43" i="335"/>
  <c r="T43" i="335"/>
  <c r="S43" i="335"/>
  <c r="Q43" i="335"/>
  <c r="K43" i="335"/>
  <c r="U42" i="335"/>
  <c r="T42" i="335"/>
  <c r="S42" i="335"/>
  <c r="Q42" i="335"/>
  <c r="K42" i="335"/>
  <c r="U41" i="335"/>
  <c r="T41" i="335"/>
  <c r="S41" i="335"/>
  <c r="Q41" i="335"/>
  <c r="K41" i="335"/>
  <c r="U40" i="335"/>
  <c r="T40" i="335"/>
  <c r="S40" i="335"/>
  <c r="K40" i="335"/>
  <c r="U39" i="335"/>
  <c r="T39" i="335"/>
  <c r="S39" i="335"/>
  <c r="Q39" i="335"/>
  <c r="K39" i="335"/>
  <c r="U38" i="335"/>
  <c r="T38" i="335"/>
  <c r="Q38" i="335"/>
  <c r="S38" i="335" s="1"/>
  <c r="K38" i="335"/>
  <c r="U37" i="335"/>
  <c r="T37" i="335"/>
  <c r="S37" i="335"/>
  <c r="Q37" i="335"/>
  <c r="K37" i="335"/>
  <c r="Z36" i="335"/>
  <c r="AA36" i="335" s="1"/>
  <c r="AB36" i="335" s="1"/>
  <c r="U36" i="335"/>
  <c r="T36" i="335"/>
  <c r="S36" i="335"/>
  <c r="Q36" i="335"/>
  <c r="K36" i="335"/>
  <c r="Z35" i="335"/>
  <c r="U35" i="335"/>
  <c r="T35" i="335"/>
  <c r="S35" i="335"/>
  <c r="Q35" i="335"/>
  <c r="K35" i="335"/>
  <c r="AC34" i="335"/>
  <c r="U34" i="335"/>
  <c r="T34" i="335"/>
  <c r="S34" i="335"/>
  <c r="Q34" i="335"/>
  <c r="K34" i="335"/>
  <c r="U33" i="335"/>
  <c r="T33" i="335"/>
  <c r="S33" i="335"/>
  <c r="Q33" i="335"/>
  <c r="K33" i="335"/>
  <c r="U32" i="335"/>
  <c r="T32" i="335"/>
  <c r="S32" i="335"/>
  <c r="Q32" i="335"/>
  <c r="K32" i="335"/>
  <c r="U31" i="335"/>
  <c r="T31" i="335"/>
  <c r="S31" i="335"/>
  <c r="Q31" i="335"/>
  <c r="K31" i="335"/>
  <c r="Z30" i="335"/>
  <c r="U30" i="335"/>
  <c r="T30" i="335"/>
  <c r="S30" i="335"/>
  <c r="Q30" i="335"/>
  <c r="K30" i="335"/>
  <c r="U29" i="335"/>
  <c r="T29" i="335"/>
  <c r="S29" i="335"/>
  <c r="Q29" i="335"/>
  <c r="K29" i="335"/>
  <c r="AA28" i="335"/>
  <c r="U28" i="335"/>
  <c r="T28" i="335"/>
  <c r="S28" i="335"/>
  <c r="Q28" i="335"/>
  <c r="K28" i="335"/>
  <c r="AC27" i="335"/>
  <c r="AA27" i="335"/>
  <c r="U27" i="335"/>
  <c r="T27" i="335"/>
  <c r="S27" i="335"/>
  <c r="Q27" i="335"/>
  <c r="K27" i="335"/>
  <c r="AC26" i="335"/>
  <c r="AD26" i="335" s="1"/>
  <c r="AD27" i="335" s="1"/>
  <c r="T26" i="335"/>
  <c r="S26" i="335"/>
  <c r="Q26" i="335"/>
  <c r="U26" i="335" s="1"/>
  <c r="K26" i="335"/>
  <c r="AE25" i="335"/>
  <c r="U25" i="335"/>
  <c r="T25" i="335"/>
  <c r="Q25" i="335"/>
  <c r="S25" i="335" s="1"/>
  <c r="K25" i="335"/>
  <c r="U24" i="335"/>
  <c r="T24" i="335"/>
  <c r="Q24" i="335"/>
  <c r="S24" i="335" s="1"/>
  <c r="K24" i="335"/>
  <c r="U23" i="335"/>
  <c r="T23" i="335"/>
  <c r="S23" i="335"/>
  <c r="Q23" i="335"/>
  <c r="K23" i="335"/>
  <c r="U22" i="335"/>
  <c r="T22" i="335"/>
  <c r="Q22" i="335"/>
  <c r="S22" i="335" s="1"/>
  <c r="K22" i="335"/>
  <c r="U21" i="335"/>
  <c r="T21" i="335"/>
  <c r="S21" i="335"/>
  <c r="Q21" i="335"/>
  <c r="K21" i="335"/>
  <c r="U20" i="335"/>
  <c r="T20" i="335"/>
  <c r="Q20" i="335"/>
  <c r="S20" i="335" s="1"/>
  <c r="K20" i="335"/>
  <c r="U19" i="335"/>
  <c r="T19" i="335"/>
  <c r="S19" i="335"/>
  <c r="Q19" i="335"/>
  <c r="K19" i="335"/>
  <c r="U18" i="335"/>
  <c r="S18" i="335"/>
  <c r="Q18" i="335"/>
  <c r="T18" i="335" s="1"/>
  <c r="AB94" i="335" s="1"/>
  <c r="K18" i="335"/>
  <c r="U17" i="335"/>
  <c r="Q17" i="335"/>
  <c r="K17" i="335"/>
  <c r="U16" i="335"/>
  <c r="T16" i="335"/>
  <c r="S16" i="335"/>
  <c r="K16" i="335"/>
  <c r="Z15" i="335"/>
  <c r="Z16" i="335" s="1"/>
  <c r="AA16" i="335" s="1"/>
  <c r="U15" i="335"/>
  <c r="T15" i="335"/>
  <c r="Q15" i="335"/>
  <c r="S15" i="335" s="1"/>
  <c r="K15" i="335"/>
  <c r="U14" i="335"/>
  <c r="T14" i="335"/>
  <c r="Q14" i="335"/>
  <c r="S14" i="335" s="1"/>
  <c r="K14" i="335"/>
  <c r="U13" i="335"/>
  <c r="T13" i="335"/>
  <c r="Q13" i="335"/>
  <c r="S13" i="335" s="1"/>
  <c r="K13" i="335"/>
  <c r="AC12" i="335"/>
  <c r="AB12" i="335"/>
  <c r="AA12" i="335"/>
  <c r="U12" i="335"/>
  <c r="T12" i="335"/>
  <c r="Q12" i="335"/>
  <c r="S12" i="335" s="1"/>
  <c r="K12" i="335"/>
  <c r="AE11" i="335"/>
  <c r="AF11" i="335" s="1"/>
  <c r="AA11" i="335"/>
  <c r="U11" i="335"/>
  <c r="T11" i="335"/>
  <c r="Q11" i="335"/>
  <c r="S11" i="335" s="1"/>
  <c r="K11" i="335"/>
  <c r="AE10" i="335"/>
  <c r="AB10" i="335"/>
  <c r="AC58" i="335" s="1"/>
  <c r="U10" i="335"/>
  <c r="Q10" i="335"/>
  <c r="T10" i="335" s="1"/>
  <c r="K10" i="335"/>
  <c r="U9" i="335"/>
  <c r="Q9" i="335"/>
  <c r="S9" i="335" s="1"/>
  <c r="K9" i="335"/>
  <c r="U8" i="335"/>
  <c r="T8" i="335"/>
  <c r="Q8" i="335"/>
  <c r="S8" i="335" s="1"/>
  <c r="K8" i="335"/>
  <c r="Z7" i="335"/>
  <c r="U7" i="335"/>
  <c r="Q7" i="335"/>
  <c r="S7" i="335" s="1"/>
  <c r="Z6" i="335"/>
  <c r="U6" i="335"/>
  <c r="T6" i="335"/>
  <c r="Q6" i="335"/>
  <c r="S6" i="335" s="1"/>
  <c r="K6" i="335"/>
  <c r="U5" i="335"/>
  <c r="S5" i="335"/>
  <c r="Q5" i="335"/>
  <c r="T5" i="335" s="1"/>
  <c r="K5" i="335"/>
  <c r="U4" i="335"/>
  <c r="Q4" i="335"/>
  <c r="T4" i="335" s="1"/>
  <c r="K4" i="335"/>
  <c r="AE3" i="335"/>
  <c r="U3" i="335"/>
  <c r="S3" i="335"/>
  <c r="Q3" i="335"/>
  <c r="T3" i="335" s="1"/>
  <c r="K3" i="335"/>
  <c r="U2" i="335"/>
  <c r="T2" i="335"/>
  <c r="Q2" i="335"/>
  <c r="S2" i="335" s="1"/>
  <c r="K2" i="335"/>
  <c r="X13" i="341" l="1"/>
  <c r="W14" i="341"/>
  <c r="W11" i="340"/>
  <c r="X10" i="340"/>
  <c r="L5" i="339"/>
  <c r="X4" i="339"/>
  <c r="W7" i="339"/>
  <c r="X3" i="338"/>
  <c r="X2" i="338"/>
  <c r="AD61" i="338"/>
  <c r="W5" i="338"/>
  <c r="X4" i="338"/>
  <c r="AF79" i="338"/>
  <c r="AB81" i="338"/>
  <c r="AE81" i="338"/>
  <c r="AF78" i="338"/>
  <c r="AD81" i="338"/>
  <c r="AK75" i="338"/>
  <c r="AD62" i="338"/>
  <c r="W3" i="337"/>
  <c r="X2" i="337"/>
  <c r="AD59" i="337"/>
  <c r="AE79" i="337" s="1"/>
  <c r="AF79" i="337" s="1"/>
  <c r="AB79" i="337"/>
  <c r="AD79" i="337" s="1"/>
  <c r="AK76" i="337" s="1"/>
  <c r="AL76" i="337" s="1"/>
  <c r="Z62" i="337"/>
  <c r="AE78" i="337"/>
  <c r="AN75" i="337"/>
  <c r="AN76" i="337" s="1"/>
  <c r="Z70" i="337"/>
  <c r="AB17" i="337"/>
  <c r="AF80" i="337"/>
  <c r="AB81" i="337"/>
  <c r="AD78" i="337"/>
  <c r="AF5" i="337"/>
  <c r="Z14" i="336"/>
  <c r="Z18" i="336" s="1"/>
  <c r="Z24" i="336" s="1"/>
  <c r="W2" i="336" s="1"/>
  <c r="O81" i="336"/>
  <c r="O83" i="336"/>
  <c r="O62" i="336"/>
  <c r="AA68" i="336"/>
  <c r="AC81" i="336"/>
  <c r="O92" i="336"/>
  <c r="O68" i="336"/>
  <c r="O93" i="336"/>
  <c r="AD35" i="336"/>
  <c r="AE34" i="336"/>
  <c r="AD36" i="336"/>
  <c r="AE36" i="336" s="1"/>
  <c r="O86" i="336"/>
  <c r="O91" i="336"/>
  <c r="O44" i="336"/>
  <c r="O36" i="336"/>
  <c r="AB92" i="336"/>
  <c r="V7" i="336"/>
  <c r="O25" i="336"/>
  <c r="O2" i="336"/>
  <c r="O6" i="336"/>
  <c r="O70" i="336"/>
  <c r="AC37" i="336"/>
  <c r="O45" i="336"/>
  <c r="O65" i="336"/>
  <c r="O54" i="336"/>
  <c r="O19" i="336"/>
  <c r="O24" i="336"/>
  <c r="O27" i="336"/>
  <c r="O11" i="336"/>
  <c r="V9" i="336"/>
  <c r="O74" i="336"/>
  <c r="AA3" i="336"/>
  <c r="O56" i="336"/>
  <c r="O46" i="336"/>
  <c r="O50" i="336"/>
  <c r="O35" i="336"/>
  <c r="O55" i="336"/>
  <c r="O42" i="336"/>
  <c r="O34" i="336"/>
  <c r="O32" i="336"/>
  <c r="O37" i="336"/>
  <c r="O30" i="336"/>
  <c r="O53" i="336"/>
  <c r="O43" i="336"/>
  <c r="O85" i="336"/>
  <c r="O90" i="336"/>
  <c r="O88" i="336"/>
  <c r="O89" i="336"/>
  <c r="O33" i="336"/>
  <c r="AC42" i="336"/>
  <c r="O49" i="336"/>
  <c r="Z60" i="336"/>
  <c r="AD28" i="336"/>
  <c r="AA35" i="336"/>
  <c r="AD5" i="336"/>
  <c r="AA34" i="336" s="1"/>
  <c r="AB34" i="336" s="1"/>
  <c r="AF10" i="336"/>
  <c r="AF9" i="336" s="1"/>
  <c r="O31" i="336"/>
  <c r="O26" i="336"/>
  <c r="O9" i="336"/>
  <c r="O5" i="336"/>
  <c r="O80" i="336"/>
  <c r="O79" i="336"/>
  <c r="O77" i="336"/>
  <c r="O76" i="336"/>
  <c r="O75" i="336"/>
  <c r="O72" i="336"/>
  <c r="O64" i="336"/>
  <c r="O73" i="336"/>
  <c r="O67" i="336"/>
  <c r="O63" i="336"/>
  <c r="O60" i="336"/>
  <c r="O58" i="336"/>
  <c r="O57" i="336"/>
  <c r="O78" i="336"/>
  <c r="O71" i="336"/>
  <c r="O69" i="336"/>
  <c r="O61" i="336"/>
  <c r="O66" i="336"/>
  <c r="O99" i="336"/>
  <c r="O102" i="336"/>
  <c r="O100" i="336"/>
  <c r="O94" i="336"/>
  <c r="O103" i="336"/>
  <c r="O101" i="336"/>
  <c r="O97" i="336"/>
  <c r="O95" i="336"/>
  <c r="O98" i="336"/>
  <c r="O96" i="336"/>
  <c r="O41" i="336"/>
  <c r="N105" i="336"/>
  <c r="O13" i="336"/>
  <c r="O8" i="336"/>
  <c r="O15" i="336"/>
  <c r="O12" i="336"/>
  <c r="O10" i="336"/>
  <c r="O22" i="336"/>
  <c r="O20" i="336"/>
  <c r="O29" i="336"/>
  <c r="O16" i="336"/>
  <c r="O3" i="336"/>
  <c r="O17" i="336"/>
  <c r="O47" i="336"/>
  <c r="O39" i="336"/>
  <c r="O28" i="336"/>
  <c r="O4" i="336"/>
  <c r="O7" i="336"/>
  <c r="S4" i="335"/>
  <c r="V4" i="335" s="1"/>
  <c r="V78" i="335"/>
  <c r="V80" i="335"/>
  <c r="V71" i="335"/>
  <c r="V95" i="335"/>
  <c r="V97" i="335"/>
  <c r="V72" i="335"/>
  <c r="V81" i="335"/>
  <c r="V89" i="335"/>
  <c r="V91" i="335"/>
  <c r="V94" i="335"/>
  <c r="V57" i="335"/>
  <c r="V65" i="335"/>
  <c r="Z37" i="335"/>
  <c r="V47" i="335"/>
  <c r="V60" i="335"/>
  <c r="V87" i="335"/>
  <c r="AC80" i="335"/>
  <c r="AB102" i="335"/>
  <c r="V77" i="335"/>
  <c r="V23" i="335"/>
  <c r="AE26" i="335"/>
  <c r="AE27" i="335" s="1"/>
  <c r="V32" i="335"/>
  <c r="AC44" i="335"/>
  <c r="V63" i="335"/>
  <c r="V70" i="335"/>
  <c r="V76" i="335"/>
  <c r="V64" i="335"/>
  <c r="V58" i="335"/>
  <c r="V82" i="335"/>
  <c r="V86" i="335"/>
  <c r="V96" i="335"/>
  <c r="V100" i="335"/>
  <c r="V103" i="335"/>
  <c r="AB86" i="335"/>
  <c r="AC86" i="335" s="1"/>
  <c r="AD86" i="335" s="1"/>
  <c r="AD87" i="335" s="1"/>
  <c r="AD88" i="335" s="1"/>
  <c r="AC45" i="335"/>
  <c r="N27" i="335"/>
  <c r="O33" i="335" s="1"/>
  <c r="V39" i="335"/>
  <c r="V42" i="335"/>
  <c r="AC43" i="335"/>
  <c r="V69" i="335"/>
  <c r="V75" i="335"/>
  <c r="V92" i="335"/>
  <c r="V98" i="335"/>
  <c r="V101" i="335"/>
  <c r="V102" i="335"/>
  <c r="V31" i="335"/>
  <c r="V40" i="335"/>
  <c r="V46" i="335"/>
  <c r="AB61" i="335"/>
  <c r="V62" i="335"/>
  <c r="V79" i="335"/>
  <c r="V93" i="335"/>
  <c r="V16" i="335"/>
  <c r="V37" i="335"/>
  <c r="V48" i="335"/>
  <c r="V61" i="335"/>
  <c r="V67" i="335"/>
  <c r="V83" i="335"/>
  <c r="V90" i="335"/>
  <c r="V50" i="335"/>
  <c r="V54" i="335"/>
  <c r="V52" i="335"/>
  <c r="V36" i="335"/>
  <c r="V45" i="335"/>
  <c r="V49" i="335"/>
  <c r="V34" i="335"/>
  <c r="V35" i="335"/>
  <c r="V43" i="335"/>
  <c r="V56" i="335"/>
  <c r="V5" i="335"/>
  <c r="V6" i="335"/>
  <c r="V25" i="335"/>
  <c r="T9" i="335"/>
  <c r="V9" i="335" s="1"/>
  <c r="S10" i="335"/>
  <c r="V10" i="335" s="1"/>
  <c r="V15" i="335"/>
  <c r="V27" i="335"/>
  <c r="V11" i="335"/>
  <c r="V28" i="335"/>
  <c r="V8" i="335"/>
  <c r="V13" i="335"/>
  <c r="V19" i="335"/>
  <c r="AB93" i="335"/>
  <c r="V29" i="335"/>
  <c r="V22" i="335"/>
  <c r="V24" i="335"/>
  <c r="V26" i="335"/>
  <c r="V14" i="335"/>
  <c r="N81" i="335"/>
  <c r="I105" i="335"/>
  <c r="AB42" i="335"/>
  <c r="T7" i="335"/>
  <c r="V7" i="335" s="1"/>
  <c r="K7" i="335"/>
  <c r="Z10" i="335"/>
  <c r="AA9" i="335"/>
  <c r="V20" i="335"/>
  <c r="AA15" i="335"/>
  <c r="AD34" i="335"/>
  <c r="AC35" i="335"/>
  <c r="AC36" i="335"/>
  <c r="AN74" i="335"/>
  <c r="AO73" i="335"/>
  <c r="V3" i="335"/>
  <c r="T17" i="335"/>
  <c r="S17" i="335"/>
  <c r="V30" i="335"/>
  <c r="V33" i="335"/>
  <c r="N56" i="335"/>
  <c r="O76" i="335" s="1"/>
  <c r="AC61" i="335"/>
  <c r="AA68" i="335" s="1"/>
  <c r="V2" i="335"/>
  <c r="H105" i="335"/>
  <c r="AA97" i="335"/>
  <c r="V12" i="335"/>
  <c r="V38" i="335"/>
  <c r="AC78" i="335"/>
  <c r="AA61" i="335"/>
  <c r="AA62" i="335"/>
  <c r="V68" i="335"/>
  <c r="N85" i="335"/>
  <c r="O87" i="335" s="1"/>
  <c r="U105" i="335"/>
  <c r="AD4" i="335" s="1"/>
  <c r="AB99" i="335"/>
  <c r="V18" i="335"/>
  <c r="V21" i="335"/>
  <c r="V41" i="335"/>
  <c r="AA42" i="335"/>
  <c r="V44" i="335"/>
  <c r="V73" i="335"/>
  <c r="N94" i="335"/>
  <c r="Q105" i="335"/>
  <c r="N50" i="335"/>
  <c r="AB62" i="335"/>
  <c r="V74" i="335"/>
  <c r="V85" i="335"/>
  <c r="V88" i="335"/>
  <c r="V99" i="335"/>
  <c r="V59" i="335"/>
  <c r="V66" i="335"/>
  <c r="V84" i="335"/>
  <c r="X84" i="335" s="1"/>
  <c r="U123" i="334"/>
  <c r="X14" i="341" l="1"/>
  <c r="W15" i="341"/>
  <c r="X11" i="340"/>
  <c r="W12" i="340"/>
  <c r="L6" i="339"/>
  <c r="X5" i="339"/>
  <c r="W8" i="339"/>
  <c r="AF81" i="338"/>
  <c r="W6" i="338"/>
  <c r="X5" i="338"/>
  <c r="AK78" i="338"/>
  <c r="AL79" i="338" s="1"/>
  <c r="AL75" i="338"/>
  <c r="AL78" i="338" s="1"/>
  <c r="AK75" i="337"/>
  <c r="AD81" i="337"/>
  <c r="AF78" i="337"/>
  <c r="AF81" i="337" s="1"/>
  <c r="AE81" i="337"/>
  <c r="AD62" i="337"/>
  <c r="X3" i="337"/>
  <c r="W4" i="337"/>
  <c r="AD61" i="337"/>
  <c r="Z13" i="336"/>
  <c r="Z3" i="336" s="1"/>
  <c r="AA4" i="336"/>
  <c r="L2" i="336" s="1"/>
  <c r="L3" i="336" s="1"/>
  <c r="L4" i="336" s="1"/>
  <c r="L5" i="336" s="1"/>
  <c r="L6" i="336" s="1"/>
  <c r="L7" i="336" s="1"/>
  <c r="L8" i="336" s="1"/>
  <c r="L9" i="336" s="1"/>
  <c r="L10" i="336" s="1"/>
  <c r="L11" i="336" s="1"/>
  <c r="L12" i="336" s="1"/>
  <c r="L13" i="336" s="1"/>
  <c r="L14" i="336" s="1"/>
  <c r="L15" i="336" s="1"/>
  <c r="L16" i="336" s="1"/>
  <c r="L17" i="336" s="1"/>
  <c r="L18" i="336" s="1"/>
  <c r="L19" i="336" s="1"/>
  <c r="L20" i="336" s="1"/>
  <c r="L21" i="336" s="1"/>
  <c r="L22" i="336" s="1"/>
  <c r="L23" i="336" s="1"/>
  <c r="L24" i="336" s="1"/>
  <c r="L25" i="336" s="1"/>
  <c r="L26" i="336" s="1"/>
  <c r="L27" i="336" s="1"/>
  <c r="L28" i="336" s="1"/>
  <c r="L29" i="336" s="1"/>
  <c r="L30" i="336" s="1"/>
  <c r="L31" i="336" s="1"/>
  <c r="L32" i="336" s="1"/>
  <c r="L33" i="336" s="1"/>
  <c r="L34" i="336" s="1"/>
  <c r="L35" i="336" s="1"/>
  <c r="L36" i="336" s="1"/>
  <c r="L37" i="336" s="1"/>
  <c r="L38" i="336" s="1"/>
  <c r="L39" i="336" s="1"/>
  <c r="L40" i="336" s="1"/>
  <c r="L41" i="336" s="1"/>
  <c r="L42" i="336" s="1"/>
  <c r="L43" i="336" s="1"/>
  <c r="L44" i="336" s="1"/>
  <c r="L45" i="336" s="1"/>
  <c r="L46" i="336" s="1"/>
  <c r="L47" i="336" s="1"/>
  <c r="L48" i="336" s="1"/>
  <c r="L49" i="336" s="1"/>
  <c r="L50" i="336" s="1"/>
  <c r="L51" i="336" s="1"/>
  <c r="L52" i="336" s="1"/>
  <c r="L53" i="336" s="1"/>
  <c r="L54" i="336" s="1"/>
  <c r="L55" i="336" s="1"/>
  <c r="L56" i="336" s="1"/>
  <c r="L57" i="336" s="1"/>
  <c r="L58" i="336" s="1"/>
  <c r="L59" i="336" s="1"/>
  <c r="L60" i="336" s="1"/>
  <c r="L61" i="336" s="1"/>
  <c r="L62" i="336" s="1"/>
  <c r="L63" i="336" s="1"/>
  <c r="L64" i="336" s="1"/>
  <c r="L65" i="336" s="1"/>
  <c r="L66" i="336" s="1"/>
  <c r="L67" i="336" s="1"/>
  <c r="L68" i="336" s="1"/>
  <c r="L69" i="336" s="1"/>
  <c r="L70" i="336" s="1"/>
  <c r="L71" i="336" s="1"/>
  <c r="L72" i="336" s="1"/>
  <c r="L73" i="336" s="1"/>
  <c r="L74" i="336" s="1"/>
  <c r="L75" i="336" s="1"/>
  <c r="L76" i="336" s="1"/>
  <c r="L77" i="336" s="1"/>
  <c r="L78" i="336" s="1"/>
  <c r="L79" i="336" s="1"/>
  <c r="L80" i="336" s="1"/>
  <c r="L81" i="336" s="1"/>
  <c r="L82" i="336" s="1"/>
  <c r="L83" i="336" s="1"/>
  <c r="L84" i="336" s="1"/>
  <c r="L85" i="336" s="1"/>
  <c r="L86" i="336" s="1"/>
  <c r="L87" i="336" s="1"/>
  <c r="L88" i="336" s="1"/>
  <c r="L89" i="336" s="1"/>
  <c r="L90" i="336" s="1"/>
  <c r="L91" i="336" s="1"/>
  <c r="L92" i="336" s="1"/>
  <c r="L93" i="336" s="1"/>
  <c r="L94" i="336" s="1"/>
  <c r="L95" i="336" s="1"/>
  <c r="L96" i="336" s="1"/>
  <c r="L97" i="336" s="1"/>
  <c r="L98" i="336" s="1"/>
  <c r="L99" i="336" s="1"/>
  <c r="L100" i="336" s="1"/>
  <c r="L101" i="336" s="1"/>
  <c r="L102" i="336" s="1"/>
  <c r="L103" i="336" s="1"/>
  <c r="L105" i="336" s="1"/>
  <c r="AD37" i="336"/>
  <c r="AE35" i="336"/>
  <c r="AE37" i="336" s="1"/>
  <c r="W3" i="336"/>
  <c r="Z53" i="336"/>
  <c r="AB80" i="336"/>
  <c r="AD80" i="336" s="1"/>
  <c r="AK77" i="336" s="1"/>
  <c r="AL77" i="336" s="1"/>
  <c r="AD60" i="336"/>
  <c r="AE80" i="336" s="1"/>
  <c r="AF3" i="336"/>
  <c r="AG3" i="336"/>
  <c r="AA37" i="336"/>
  <c r="AB37" i="336" s="1"/>
  <c r="AB35" i="336"/>
  <c r="AB97" i="335"/>
  <c r="O41" i="335"/>
  <c r="AC81" i="335"/>
  <c r="O32" i="335"/>
  <c r="O42" i="335"/>
  <c r="O73" i="335"/>
  <c r="O45" i="335"/>
  <c r="O49" i="335"/>
  <c r="O35" i="335"/>
  <c r="O39" i="335"/>
  <c r="O30" i="335"/>
  <c r="O90" i="335"/>
  <c r="O69" i="335"/>
  <c r="O63" i="335"/>
  <c r="O86" i="335"/>
  <c r="O92" i="335"/>
  <c r="O43" i="335"/>
  <c r="O55" i="335"/>
  <c r="O71" i="335"/>
  <c r="O60" i="335"/>
  <c r="O46" i="335"/>
  <c r="O37" i="335"/>
  <c r="O61" i="335"/>
  <c r="O47" i="335"/>
  <c r="AA69" i="335"/>
  <c r="O38" i="335"/>
  <c r="O54" i="335"/>
  <c r="O67" i="335"/>
  <c r="O57" i="335"/>
  <c r="O36" i="335"/>
  <c r="O31" i="335"/>
  <c r="O44" i="335"/>
  <c r="O56" i="335"/>
  <c r="O34" i="335"/>
  <c r="O50" i="335"/>
  <c r="O53" i="335"/>
  <c r="AB92" i="335"/>
  <c r="AC37" i="335"/>
  <c r="AA10" i="335"/>
  <c r="Z14" i="335"/>
  <c r="O98" i="335"/>
  <c r="O96" i="335"/>
  <c r="O103" i="335"/>
  <c r="O97" i="335"/>
  <c r="O95" i="335"/>
  <c r="O94" i="335"/>
  <c r="O100" i="335"/>
  <c r="O101" i="335"/>
  <c r="O102" i="335"/>
  <c r="O99" i="335"/>
  <c r="O77" i="335"/>
  <c r="O64" i="335"/>
  <c r="O59" i="335"/>
  <c r="O70" i="335"/>
  <c r="O65" i="335"/>
  <c r="O72" i="335"/>
  <c r="O68" i="335"/>
  <c r="O75" i="335"/>
  <c r="O66" i="335"/>
  <c r="O79" i="335"/>
  <c r="O62" i="335"/>
  <c r="O74" i="335"/>
  <c r="AD36" i="335"/>
  <c r="AE36" i="335" s="1"/>
  <c r="AD35" i="335"/>
  <c r="O82" i="335"/>
  <c r="O84" i="335"/>
  <c r="O83" i="335"/>
  <c r="K105" i="335"/>
  <c r="K108" i="335" s="1"/>
  <c r="O78" i="335"/>
  <c r="O58" i="335"/>
  <c r="AC42" i="335"/>
  <c r="O93" i="335"/>
  <c r="O91" i="335"/>
  <c r="O85" i="335"/>
  <c r="O88" i="335"/>
  <c r="O80" i="335"/>
  <c r="Z60" i="335"/>
  <c r="AA35" i="335"/>
  <c r="AD28" i="335"/>
  <c r="AF10" i="335"/>
  <c r="AF9" i="335" s="1"/>
  <c r="AD5" i="335"/>
  <c r="AA34" i="335" s="1"/>
  <c r="AB34" i="335" s="1"/>
  <c r="V17" i="335"/>
  <c r="AE34" i="335"/>
  <c r="O89" i="335"/>
  <c r="O81" i="335"/>
  <c r="N2" i="335"/>
  <c r="O7" i="335" s="1"/>
  <c r="I7" i="334"/>
  <c r="H7" i="334"/>
  <c r="X15" i="341" l="1"/>
  <c r="W16" i="341"/>
  <c r="X12" i="340"/>
  <c r="W13" i="340"/>
  <c r="L7" i="339"/>
  <c r="X6" i="339"/>
  <c r="W9" i="339"/>
  <c r="W7" i="338"/>
  <c r="X6" i="338"/>
  <c r="AL75" i="337"/>
  <c r="AL78" i="337" s="1"/>
  <c r="AK78" i="337"/>
  <c r="AL79" i="337" s="1"/>
  <c r="W5" i="337"/>
  <c r="X4" i="337"/>
  <c r="Z4" i="336"/>
  <c r="Z5" i="336" s="1"/>
  <c r="AA5" i="336"/>
  <c r="X2" i="336"/>
  <c r="AF80" i="336"/>
  <c r="W4" i="336"/>
  <c r="W5" i="336" s="1"/>
  <c r="W6" i="336" s="1"/>
  <c r="W7" i="336" s="1"/>
  <c r="W8" i="336" s="1"/>
  <c r="W9" i="336" s="1"/>
  <c r="W10" i="336" s="1"/>
  <c r="W11" i="336" s="1"/>
  <c r="W12" i="336" s="1"/>
  <c r="W13" i="336" s="1"/>
  <c r="W14" i="336" s="1"/>
  <c r="W15" i="336" s="1"/>
  <c r="W16" i="336" s="1"/>
  <c r="W17" i="336" s="1"/>
  <c r="W18" i="336" s="1"/>
  <c r="W19" i="336" s="1"/>
  <c r="W20" i="336" s="1"/>
  <c r="W21" i="336" s="1"/>
  <c r="W22" i="336" s="1"/>
  <c r="W23" i="336" s="1"/>
  <c r="W24" i="336" s="1"/>
  <c r="W25" i="336" s="1"/>
  <c r="W26" i="336" s="1"/>
  <c r="W27" i="336" s="1"/>
  <c r="W28" i="336" s="1"/>
  <c r="W29" i="336" s="1"/>
  <c r="W30" i="336" s="1"/>
  <c r="W31" i="336" s="1"/>
  <c r="W32" i="336" s="1"/>
  <c r="W33" i="336" s="1"/>
  <c r="W34" i="336" s="1"/>
  <c r="W35" i="336" s="1"/>
  <c r="W36" i="336" s="1"/>
  <c r="W37" i="336" s="1"/>
  <c r="W38" i="336" s="1"/>
  <c r="W39" i="336" s="1"/>
  <c r="W40" i="336" s="1"/>
  <c r="W41" i="336" s="1"/>
  <c r="W42" i="336" s="1"/>
  <c r="W43" i="336" s="1"/>
  <c r="W44" i="336" s="1"/>
  <c r="W45" i="336" s="1"/>
  <c r="W46" i="336" s="1"/>
  <c r="W47" i="336" s="1"/>
  <c r="W48" i="336" s="1"/>
  <c r="W49" i="336" s="1"/>
  <c r="W50" i="336" s="1"/>
  <c r="X3" i="336"/>
  <c r="N105" i="335"/>
  <c r="O12" i="335"/>
  <c r="O2" i="335"/>
  <c r="O11" i="335"/>
  <c r="O14" i="335"/>
  <c r="O15" i="335"/>
  <c r="O24" i="335"/>
  <c r="O16" i="335"/>
  <c r="O9" i="335"/>
  <c r="O5" i="335"/>
  <c r="O10" i="335"/>
  <c r="O25" i="335"/>
  <c r="O4" i="335"/>
  <c r="O13" i="335"/>
  <c r="O26" i="335"/>
  <c r="O27" i="335"/>
  <c r="O3" i="335"/>
  <c r="O19" i="335"/>
  <c r="O28" i="335"/>
  <c r="O29" i="335"/>
  <c r="O6" i="335"/>
  <c r="O17" i="335"/>
  <c r="O8" i="335"/>
  <c r="O22" i="335"/>
  <c r="O20" i="335"/>
  <c r="AB35" i="335"/>
  <c r="AA37" i="335"/>
  <c r="AB37" i="335" s="1"/>
  <c r="Z13" i="335"/>
  <c r="Z18" i="335"/>
  <c r="Z24" i="335" s="1"/>
  <c r="W2" i="335" s="1"/>
  <c r="AA3" i="335"/>
  <c r="AA4" i="335"/>
  <c r="AB80" i="335"/>
  <c r="AD80" i="335" s="1"/>
  <c r="AK77" i="335" s="1"/>
  <c r="AL77" i="335" s="1"/>
  <c r="Z53" i="335"/>
  <c r="AD60" i="335"/>
  <c r="AE80" i="335" s="1"/>
  <c r="AD37" i="335"/>
  <c r="AE35" i="335"/>
  <c r="AE37" i="335" s="1"/>
  <c r="Z9" i="334"/>
  <c r="R105" i="334"/>
  <c r="P105" i="334"/>
  <c r="M105" i="334"/>
  <c r="J105" i="334"/>
  <c r="U103" i="334"/>
  <c r="T103" i="334"/>
  <c r="S103" i="334"/>
  <c r="Q103" i="334"/>
  <c r="K103" i="334"/>
  <c r="AA102" i="334"/>
  <c r="U102" i="334"/>
  <c r="T102" i="334"/>
  <c r="S102" i="334"/>
  <c r="Q102" i="334"/>
  <c r="K102" i="334"/>
  <c r="U101" i="334"/>
  <c r="T101" i="334"/>
  <c r="S101" i="334"/>
  <c r="Q101" i="334"/>
  <c r="K101" i="334"/>
  <c r="AA100" i="334"/>
  <c r="U100" i="334"/>
  <c r="T100" i="334"/>
  <c r="S100" i="334"/>
  <c r="Q100" i="334"/>
  <c r="K100" i="334"/>
  <c r="AA99" i="334"/>
  <c r="U99" i="334"/>
  <c r="T99" i="334"/>
  <c r="S99" i="334"/>
  <c r="Q99" i="334"/>
  <c r="K99" i="334"/>
  <c r="AA98" i="334"/>
  <c r="U98" i="334"/>
  <c r="T98" i="334"/>
  <c r="S98" i="334"/>
  <c r="Q98" i="334"/>
  <c r="K98" i="334"/>
  <c r="U97" i="334"/>
  <c r="T97" i="334"/>
  <c r="S97" i="334"/>
  <c r="Q97" i="334"/>
  <c r="K97" i="334"/>
  <c r="U96" i="334"/>
  <c r="T96" i="334"/>
  <c r="S96" i="334"/>
  <c r="Q96" i="334"/>
  <c r="K96" i="334"/>
  <c r="AA95" i="334"/>
  <c r="U95" i="334"/>
  <c r="T95" i="334"/>
  <c r="S95" i="334"/>
  <c r="Q95" i="334"/>
  <c r="K95" i="334"/>
  <c r="AA94" i="334"/>
  <c r="U94" i="334"/>
  <c r="T94" i="334"/>
  <c r="S94" i="334"/>
  <c r="Q94" i="334"/>
  <c r="K94" i="334"/>
  <c r="AA93" i="334"/>
  <c r="U93" i="334"/>
  <c r="T93" i="334"/>
  <c r="S93" i="334"/>
  <c r="Q93" i="334"/>
  <c r="K93" i="334"/>
  <c r="U92" i="334"/>
  <c r="T92" i="334"/>
  <c r="S92" i="334"/>
  <c r="Q92" i="334"/>
  <c r="K92" i="334"/>
  <c r="U91" i="334"/>
  <c r="T91" i="334"/>
  <c r="S91" i="334"/>
  <c r="Q91" i="334"/>
  <c r="K91" i="334"/>
  <c r="U90" i="334"/>
  <c r="T90" i="334"/>
  <c r="S90" i="334"/>
  <c r="Q90" i="334"/>
  <c r="K90" i="334"/>
  <c r="U89" i="334"/>
  <c r="T89" i="334"/>
  <c r="S89" i="334"/>
  <c r="Q89" i="334"/>
  <c r="K89" i="334"/>
  <c r="U88" i="334"/>
  <c r="T88" i="334"/>
  <c r="S88" i="334"/>
  <c r="Q88" i="334"/>
  <c r="K88" i="334"/>
  <c r="AE87" i="334"/>
  <c r="AF86" i="334" s="1"/>
  <c r="AA87" i="334"/>
  <c r="Y87" i="334"/>
  <c r="U87" i="334"/>
  <c r="T87" i="334"/>
  <c r="S87" i="334"/>
  <c r="Q87" i="334"/>
  <c r="K87" i="334"/>
  <c r="AG86" i="334"/>
  <c r="AH86" i="334" s="1"/>
  <c r="AH87" i="334" s="1"/>
  <c r="AH88" i="334" s="1"/>
  <c r="U86" i="334"/>
  <c r="T86" i="334"/>
  <c r="S86" i="334"/>
  <c r="Q86" i="334"/>
  <c r="K86" i="334"/>
  <c r="U85" i="334"/>
  <c r="T85" i="334"/>
  <c r="S85" i="334"/>
  <c r="Q85" i="334"/>
  <c r="K85" i="334"/>
  <c r="U84" i="334"/>
  <c r="T84" i="334"/>
  <c r="S84" i="334"/>
  <c r="Q84" i="334"/>
  <c r="K84" i="334"/>
  <c r="U83" i="334"/>
  <c r="T83" i="334"/>
  <c r="S83" i="334"/>
  <c r="Q83" i="334"/>
  <c r="K83" i="334"/>
  <c r="U82" i="334"/>
  <c r="T82" i="334"/>
  <c r="S82" i="334"/>
  <c r="Q82" i="334"/>
  <c r="K82" i="334"/>
  <c r="AA81" i="334"/>
  <c r="AA86" i="334" s="1"/>
  <c r="AB86" i="334" s="1"/>
  <c r="AC86" i="334" s="1"/>
  <c r="AD86" i="334" s="1"/>
  <c r="AD87" i="334" s="1"/>
  <c r="AD88" i="334" s="1"/>
  <c r="Z81" i="334"/>
  <c r="U81" i="334"/>
  <c r="T81" i="334"/>
  <c r="S81" i="334"/>
  <c r="Q81" i="334"/>
  <c r="K81" i="334"/>
  <c r="AI80" i="334"/>
  <c r="U80" i="334"/>
  <c r="T80" i="334"/>
  <c r="S80" i="334"/>
  <c r="Q80" i="334"/>
  <c r="K80" i="334"/>
  <c r="AI79" i="334"/>
  <c r="U79" i="334"/>
  <c r="T79" i="334"/>
  <c r="S79" i="334"/>
  <c r="Q79" i="334"/>
  <c r="K79" i="334"/>
  <c r="AI78" i="334"/>
  <c r="U78" i="334"/>
  <c r="T78" i="334"/>
  <c r="S78" i="334"/>
  <c r="Q78" i="334"/>
  <c r="K78" i="334"/>
  <c r="U77" i="334"/>
  <c r="T77" i="334"/>
  <c r="S77" i="334"/>
  <c r="Q77" i="334"/>
  <c r="K77" i="334"/>
  <c r="U76" i="334"/>
  <c r="T76" i="334"/>
  <c r="S76" i="334"/>
  <c r="Q76" i="334"/>
  <c r="K76" i="334"/>
  <c r="U75" i="334"/>
  <c r="T75" i="334"/>
  <c r="S75" i="334"/>
  <c r="Q75" i="334"/>
  <c r="K75" i="334"/>
  <c r="U74" i="334"/>
  <c r="T74" i="334"/>
  <c r="S74" i="334"/>
  <c r="Q74" i="334"/>
  <c r="K74" i="334"/>
  <c r="AP73" i="334"/>
  <c r="AQ73" i="334" s="1"/>
  <c r="AD73" i="334"/>
  <c r="AM72" i="334" s="1"/>
  <c r="AN73" i="334" s="1"/>
  <c r="Z73" i="334"/>
  <c r="U73" i="334"/>
  <c r="T73" i="334"/>
  <c r="S73" i="334"/>
  <c r="Q73" i="334"/>
  <c r="K73" i="334"/>
  <c r="Z72" i="334"/>
  <c r="U72" i="334"/>
  <c r="T72" i="334"/>
  <c r="S72" i="334"/>
  <c r="Q72" i="334"/>
  <c r="K72" i="334"/>
  <c r="U71" i="334"/>
  <c r="T71" i="334"/>
  <c r="S71" i="334"/>
  <c r="Q71" i="334"/>
  <c r="K71" i="334"/>
  <c r="U70" i="334"/>
  <c r="T70" i="334"/>
  <c r="S70" i="334"/>
  <c r="Q70" i="334"/>
  <c r="K70" i="334"/>
  <c r="U69" i="334"/>
  <c r="T69" i="334"/>
  <c r="S69" i="334"/>
  <c r="Q69" i="334"/>
  <c r="K69" i="334"/>
  <c r="U68" i="334"/>
  <c r="T68" i="334"/>
  <c r="S68" i="334"/>
  <c r="Q68" i="334"/>
  <c r="K68" i="334"/>
  <c r="AA67" i="334"/>
  <c r="U67" i="334"/>
  <c r="T67" i="334"/>
  <c r="S67" i="334"/>
  <c r="Q67" i="334"/>
  <c r="K67" i="334"/>
  <c r="U66" i="334"/>
  <c r="T66" i="334"/>
  <c r="S66" i="334"/>
  <c r="Q66" i="334"/>
  <c r="K66" i="334"/>
  <c r="U65" i="334"/>
  <c r="T65" i="334"/>
  <c r="S65" i="334"/>
  <c r="Q65" i="334"/>
  <c r="K65" i="334"/>
  <c r="U64" i="334"/>
  <c r="T64" i="334"/>
  <c r="S64" i="334"/>
  <c r="Q64" i="334"/>
  <c r="K64" i="334"/>
  <c r="U63" i="334"/>
  <c r="T63" i="334"/>
  <c r="S63" i="334"/>
  <c r="Q63" i="334"/>
  <c r="K63" i="334"/>
  <c r="AC62" i="334"/>
  <c r="U62" i="334"/>
  <c r="T62" i="334"/>
  <c r="S62" i="334"/>
  <c r="Q62" i="334"/>
  <c r="K62" i="334"/>
  <c r="U61" i="334"/>
  <c r="T61" i="334"/>
  <c r="S61" i="334"/>
  <c r="Q61" i="334"/>
  <c r="K61" i="334"/>
  <c r="U60" i="334"/>
  <c r="T60" i="334"/>
  <c r="S60" i="334"/>
  <c r="Q60" i="334"/>
  <c r="K60" i="334"/>
  <c r="AB59" i="334"/>
  <c r="AA59" i="334"/>
  <c r="AC79" i="334" s="1"/>
  <c r="U59" i="334"/>
  <c r="T59" i="334"/>
  <c r="S59" i="334"/>
  <c r="Q59" i="334"/>
  <c r="K59" i="334"/>
  <c r="AB58" i="334"/>
  <c r="AA58" i="334"/>
  <c r="AC78" i="334" s="1"/>
  <c r="U58" i="334"/>
  <c r="T58" i="334"/>
  <c r="S58" i="334"/>
  <c r="Q58" i="334"/>
  <c r="K58" i="334"/>
  <c r="U57" i="334"/>
  <c r="T57" i="334"/>
  <c r="S57" i="334"/>
  <c r="Q57" i="334"/>
  <c r="K57" i="334"/>
  <c r="U56" i="334"/>
  <c r="T56" i="334"/>
  <c r="S56" i="334"/>
  <c r="Q56" i="334"/>
  <c r="K56" i="334"/>
  <c r="Y55" i="334"/>
  <c r="U55" i="334"/>
  <c r="S55" i="334"/>
  <c r="Q55" i="334"/>
  <c r="T55" i="334" s="1"/>
  <c r="K55" i="334"/>
  <c r="U54" i="334"/>
  <c r="T54" i="334"/>
  <c r="S54" i="334"/>
  <c r="Q54" i="334"/>
  <c r="K54" i="334"/>
  <c r="Y53" i="334"/>
  <c r="U53" i="334"/>
  <c r="T53" i="334"/>
  <c r="Q53" i="334"/>
  <c r="S53" i="334" s="1"/>
  <c r="K53" i="334"/>
  <c r="U52" i="334"/>
  <c r="T52" i="334"/>
  <c r="S52" i="334"/>
  <c r="Q52" i="334"/>
  <c r="K52" i="334"/>
  <c r="Y51" i="334"/>
  <c r="U51" i="334"/>
  <c r="T51" i="334"/>
  <c r="S51" i="334"/>
  <c r="K51" i="334"/>
  <c r="AB50" i="334"/>
  <c r="U50" i="334"/>
  <c r="T50" i="334"/>
  <c r="S50" i="334"/>
  <c r="Q50" i="334"/>
  <c r="K50" i="334"/>
  <c r="Y49" i="334"/>
  <c r="Z49" i="334" s="1"/>
  <c r="U49" i="334"/>
  <c r="T49" i="334"/>
  <c r="S49" i="334"/>
  <c r="Q49" i="334"/>
  <c r="K49" i="334"/>
  <c r="Y48" i="334"/>
  <c r="Z48" i="334" s="1"/>
  <c r="U48" i="334"/>
  <c r="T48" i="334"/>
  <c r="S48" i="334"/>
  <c r="Q48" i="334"/>
  <c r="K48" i="334"/>
  <c r="U47" i="334"/>
  <c r="T47" i="334"/>
  <c r="S47" i="334"/>
  <c r="Q47" i="334"/>
  <c r="K47" i="334"/>
  <c r="U46" i="334"/>
  <c r="T46" i="334"/>
  <c r="Q46" i="334"/>
  <c r="S46" i="334" s="1"/>
  <c r="K46" i="334"/>
  <c r="AB45" i="334"/>
  <c r="AA45" i="334"/>
  <c r="U45" i="334"/>
  <c r="T45" i="334"/>
  <c r="S45" i="334"/>
  <c r="Q45" i="334"/>
  <c r="K45" i="334"/>
  <c r="AB44" i="334"/>
  <c r="AA44" i="334"/>
  <c r="U44" i="334"/>
  <c r="T44" i="334"/>
  <c r="S44" i="334"/>
  <c r="Q44" i="334"/>
  <c r="K44" i="334"/>
  <c r="AB43" i="334"/>
  <c r="AA43" i="334"/>
  <c r="U43" i="334"/>
  <c r="T43" i="334"/>
  <c r="S43" i="334"/>
  <c r="Q43" i="334"/>
  <c r="K43" i="334"/>
  <c r="U42" i="334"/>
  <c r="T42" i="334"/>
  <c r="S42" i="334"/>
  <c r="Q42" i="334"/>
  <c r="K42" i="334"/>
  <c r="U41" i="334"/>
  <c r="T41" i="334"/>
  <c r="S41" i="334"/>
  <c r="Q41" i="334"/>
  <c r="K41" i="334"/>
  <c r="U40" i="334"/>
  <c r="T40" i="334"/>
  <c r="S40" i="334"/>
  <c r="K40" i="334"/>
  <c r="U39" i="334"/>
  <c r="T39" i="334"/>
  <c r="S39" i="334"/>
  <c r="Q39" i="334"/>
  <c r="K39" i="334"/>
  <c r="U38" i="334"/>
  <c r="T38" i="334"/>
  <c r="S38" i="334"/>
  <c r="Q38" i="334"/>
  <c r="K38" i="334"/>
  <c r="U37" i="334"/>
  <c r="T37" i="334"/>
  <c r="S37" i="334"/>
  <c r="Q37" i="334"/>
  <c r="K37" i="334"/>
  <c r="Z36" i="334"/>
  <c r="U36" i="334"/>
  <c r="T36" i="334"/>
  <c r="S36" i="334"/>
  <c r="Q36" i="334"/>
  <c r="K36" i="334"/>
  <c r="Z35" i="334"/>
  <c r="U35" i="334"/>
  <c r="T35" i="334"/>
  <c r="S35" i="334"/>
  <c r="Q35" i="334"/>
  <c r="K35" i="334"/>
  <c r="AC34" i="334"/>
  <c r="AC36" i="334" s="1"/>
  <c r="U34" i="334"/>
  <c r="T34" i="334"/>
  <c r="S34" i="334"/>
  <c r="Q34" i="334"/>
  <c r="K34" i="334"/>
  <c r="U33" i="334"/>
  <c r="T33" i="334"/>
  <c r="S33" i="334"/>
  <c r="Q33" i="334"/>
  <c r="K33" i="334"/>
  <c r="U32" i="334"/>
  <c r="T32" i="334"/>
  <c r="S32" i="334"/>
  <c r="Q32" i="334"/>
  <c r="K32" i="334"/>
  <c r="U31" i="334"/>
  <c r="T31" i="334"/>
  <c r="S31" i="334"/>
  <c r="Q31" i="334"/>
  <c r="K31" i="334"/>
  <c r="Z30" i="334"/>
  <c r="Z10" i="334" s="1"/>
  <c r="U30" i="334"/>
  <c r="T30" i="334"/>
  <c r="S30" i="334"/>
  <c r="Q30" i="334"/>
  <c r="K30" i="334"/>
  <c r="U29" i="334"/>
  <c r="T29" i="334"/>
  <c r="S29" i="334"/>
  <c r="Q29" i="334"/>
  <c r="K29" i="334"/>
  <c r="AA28" i="334"/>
  <c r="U28" i="334"/>
  <c r="T28" i="334"/>
  <c r="S28" i="334"/>
  <c r="Q28" i="334"/>
  <c r="K28" i="334"/>
  <c r="AC27" i="334"/>
  <c r="AA27" i="334"/>
  <c r="U27" i="334"/>
  <c r="T27" i="334"/>
  <c r="S27" i="334"/>
  <c r="Q27" i="334"/>
  <c r="K27" i="334"/>
  <c r="AC26" i="334"/>
  <c r="AD26" i="334" s="1"/>
  <c r="AD27" i="334" s="1"/>
  <c r="T26" i="334"/>
  <c r="S26" i="334"/>
  <c r="Q26" i="334"/>
  <c r="U26" i="334" s="1"/>
  <c r="K26" i="334"/>
  <c r="AE25" i="334"/>
  <c r="U25" i="334"/>
  <c r="T25" i="334"/>
  <c r="Q25" i="334"/>
  <c r="S25" i="334" s="1"/>
  <c r="K25" i="334"/>
  <c r="U24" i="334"/>
  <c r="T24" i="334"/>
  <c r="S24" i="334"/>
  <c r="Q24" i="334"/>
  <c r="K24" i="334"/>
  <c r="U23" i="334"/>
  <c r="T23" i="334"/>
  <c r="S23" i="334"/>
  <c r="Q23" i="334"/>
  <c r="K23" i="334"/>
  <c r="U22" i="334"/>
  <c r="T22" i="334"/>
  <c r="Q22" i="334"/>
  <c r="S22" i="334" s="1"/>
  <c r="K22" i="334"/>
  <c r="U21" i="334"/>
  <c r="T21" i="334"/>
  <c r="S21" i="334"/>
  <c r="Q21" i="334"/>
  <c r="K21" i="334"/>
  <c r="U20" i="334"/>
  <c r="T20" i="334"/>
  <c r="Q20" i="334"/>
  <c r="S20" i="334" s="1"/>
  <c r="K20" i="334"/>
  <c r="U19" i="334"/>
  <c r="T19" i="334"/>
  <c r="S19" i="334"/>
  <c r="Q19" i="334"/>
  <c r="K19" i="334"/>
  <c r="U18" i="334"/>
  <c r="S18" i="334"/>
  <c r="AB99" i="334" s="1"/>
  <c r="Q18" i="334"/>
  <c r="T18" i="334" s="1"/>
  <c r="AB94" i="334" s="1"/>
  <c r="K18" i="334"/>
  <c r="U17" i="334"/>
  <c r="Q17" i="334"/>
  <c r="T17" i="334" s="1"/>
  <c r="K17" i="334"/>
  <c r="U16" i="334"/>
  <c r="T16" i="334"/>
  <c r="S16" i="334"/>
  <c r="K16" i="334"/>
  <c r="Z15" i="334"/>
  <c r="U15" i="334"/>
  <c r="T15" i="334"/>
  <c r="Q15" i="334"/>
  <c r="S15" i="334" s="1"/>
  <c r="K15" i="334"/>
  <c r="U14" i="334"/>
  <c r="T14" i="334"/>
  <c r="Q14" i="334"/>
  <c r="S14" i="334" s="1"/>
  <c r="K14" i="334"/>
  <c r="U13" i="334"/>
  <c r="Q13" i="334"/>
  <c r="T13" i="334" s="1"/>
  <c r="K13" i="334"/>
  <c r="AC12" i="334"/>
  <c r="AB12" i="334"/>
  <c r="AA12" i="334"/>
  <c r="U12" i="334"/>
  <c r="T12" i="334"/>
  <c r="Q12" i="334"/>
  <c r="S12" i="334" s="1"/>
  <c r="K12" i="334"/>
  <c r="AE11" i="334"/>
  <c r="AF11" i="334" s="1"/>
  <c r="AA11" i="334"/>
  <c r="U11" i="334"/>
  <c r="T11" i="334"/>
  <c r="Q11" i="334"/>
  <c r="S11" i="334" s="1"/>
  <c r="K11" i="334"/>
  <c r="AA60" i="334"/>
  <c r="AE10" i="334"/>
  <c r="AB10" i="334"/>
  <c r="U10" i="334"/>
  <c r="Q10" i="334"/>
  <c r="T10" i="334" s="1"/>
  <c r="K10" i="334"/>
  <c r="AA9" i="334"/>
  <c r="U9" i="334"/>
  <c r="Q9" i="334"/>
  <c r="S9" i="334" s="1"/>
  <c r="K9" i="334"/>
  <c r="U8" i="334"/>
  <c r="T8" i="334"/>
  <c r="Q8" i="334"/>
  <c r="S8" i="334" s="1"/>
  <c r="K8" i="334"/>
  <c r="Z7" i="334"/>
  <c r="U7" i="334"/>
  <c r="Q7" i="334"/>
  <c r="S7" i="334" s="1"/>
  <c r="K7" i="334"/>
  <c r="Z6" i="334"/>
  <c r="U6" i="334"/>
  <c r="T6" i="334"/>
  <c r="Q6" i="334"/>
  <c r="S6" i="334" s="1"/>
  <c r="K6" i="334"/>
  <c r="U5" i="334"/>
  <c r="S5" i="334"/>
  <c r="Q5" i="334"/>
  <c r="T5" i="334" s="1"/>
  <c r="K5" i="334"/>
  <c r="U4" i="334"/>
  <c r="S4" i="334"/>
  <c r="Q4" i="334"/>
  <c r="T4" i="334" s="1"/>
  <c r="K4" i="334"/>
  <c r="AE3" i="334"/>
  <c r="U3" i="334"/>
  <c r="S3" i="334"/>
  <c r="Q3" i="334"/>
  <c r="T3" i="334" s="1"/>
  <c r="K3" i="334"/>
  <c r="U2" i="334"/>
  <c r="T2" i="334"/>
  <c r="Q2" i="334"/>
  <c r="S2" i="334" s="1"/>
  <c r="K2" i="334"/>
  <c r="W17" i="341" l="1"/>
  <c r="X16" i="341"/>
  <c r="X13" i="340"/>
  <c r="W14" i="340"/>
  <c r="L8" i="339"/>
  <c r="X7" i="339"/>
  <c r="W10" i="339"/>
  <c r="X7" i="338"/>
  <c r="W8" i="338"/>
  <c r="X5" i="337"/>
  <c r="W6" i="337"/>
  <c r="X4" i="336"/>
  <c r="AF80" i="335"/>
  <c r="Z4" i="335"/>
  <c r="Z3" i="335"/>
  <c r="L2" i="335"/>
  <c r="L3" i="335" s="1"/>
  <c r="L4" i="335" s="1"/>
  <c r="L5" i="335" s="1"/>
  <c r="L6" i="335" s="1"/>
  <c r="L7" i="335" s="1"/>
  <c r="L8" i="335" s="1"/>
  <c r="L9" i="335" s="1"/>
  <c r="L10" i="335" s="1"/>
  <c r="L11" i="335" s="1"/>
  <c r="L12" i="335" s="1"/>
  <c r="L13" i="335" s="1"/>
  <c r="L14" i="335" s="1"/>
  <c r="L15" i="335" s="1"/>
  <c r="L16" i="335" s="1"/>
  <c r="L17" i="335" s="1"/>
  <c r="L18" i="335" s="1"/>
  <c r="L19" i="335" s="1"/>
  <c r="L20" i="335" s="1"/>
  <c r="L21" i="335" s="1"/>
  <c r="L22" i="335" s="1"/>
  <c r="L23" i="335" s="1"/>
  <c r="L24" i="335" s="1"/>
  <c r="L25" i="335" s="1"/>
  <c r="L26" i="335" s="1"/>
  <c r="L27" i="335" s="1"/>
  <c r="L28" i="335" s="1"/>
  <c r="L29" i="335" s="1"/>
  <c r="L30" i="335" s="1"/>
  <c r="L31" i="335" s="1"/>
  <c r="L32" i="335" s="1"/>
  <c r="L33" i="335" s="1"/>
  <c r="L34" i="335" s="1"/>
  <c r="L35" i="335" s="1"/>
  <c r="L36" i="335" s="1"/>
  <c r="L37" i="335" s="1"/>
  <c r="L38" i="335" s="1"/>
  <c r="L39" i="335" s="1"/>
  <c r="L40" i="335" s="1"/>
  <c r="L41" i="335" s="1"/>
  <c r="L42" i="335" s="1"/>
  <c r="L43" i="335" s="1"/>
  <c r="L44" i="335" s="1"/>
  <c r="L45" i="335" s="1"/>
  <c r="L46" i="335" s="1"/>
  <c r="L47" i="335" s="1"/>
  <c r="L48" i="335" s="1"/>
  <c r="L49" i="335" s="1"/>
  <c r="L50" i="335" s="1"/>
  <c r="L51" i="335" s="1"/>
  <c r="L52" i="335" s="1"/>
  <c r="L53" i="335" s="1"/>
  <c r="L54" i="335" s="1"/>
  <c r="L55" i="335" s="1"/>
  <c r="L56" i="335" s="1"/>
  <c r="L57" i="335" s="1"/>
  <c r="L58" i="335" s="1"/>
  <c r="L59" i="335" s="1"/>
  <c r="L60" i="335" s="1"/>
  <c r="L61" i="335" s="1"/>
  <c r="L62" i="335" s="1"/>
  <c r="L63" i="335" s="1"/>
  <c r="L64" i="335" s="1"/>
  <c r="L65" i="335" s="1"/>
  <c r="L66" i="335" s="1"/>
  <c r="L67" i="335" s="1"/>
  <c r="L68" i="335" s="1"/>
  <c r="L69" i="335" s="1"/>
  <c r="L70" i="335" s="1"/>
  <c r="L71" i="335" s="1"/>
  <c r="L72" i="335" s="1"/>
  <c r="L73" i="335" s="1"/>
  <c r="L74" i="335" s="1"/>
  <c r="L75" i="335" s="1"/>
  <c r="L76" i="335" s="1"/>
  <c r="L77" i="335" s="1"/>
  <c r="L78" i="335" s="1"/>
  <c r="L79" i="335" s="1"/>
  <c r="L80" i="335" s="1"/>
  <c r="L81" i="335" s="1"/>
  <c r="L82" i="335" s="1"/>
  <c r="L83" i="335" s="1"/>
  <c r="L84" i="335" s="1"/>
  <c r="L85" i="335" s="1"/>
  <c r="L86" i="335" s="1"/>
  <c r="L87" i="335" s="1"/>
  <c r="L88" i="335" s="1"/>
  <c r="L89" i="335" s="1"/>
  <c r="L90" i="335" s="1"/>
  <c r="L91" i="335" s="1"/>
  <c r="L92" i="335" s="1"/>
  <c r="L93" i="335" s="1"/>
  <c r="L94" i="335" s="1"/>
  <c r="L95" i="335" s="1"/>
  <c r="L96" i="335" s="1"/>
  <c r="L97" i="335" s="1"/>
  <c r="L98" i="335" s="1"/>
  <c r="L99" i="335" s="1"/>
  <c r="L100" i="335" s="1"/>
  <c r="L101" i="335" s="1"/>
  <c r="L102" i="335" s="1"/>
  <c r="L103" i="335" s="1"/>
  <c r="L105" i="335" s="1"/>
  <c r="AF3" i="335"/>
  <c r="AA5" i="335"/>
  <c r="AG3" i="335"/>
  <c r="W3" i="335"/>
  <c r="AD34" i="334"/>
  <c r="AD35" i="334" s="1"/>
  <c r="V91" i="334"/>
  <c r="V93" i="334"/>
  <c r="V94" i="334"/>
  <c r="V46" i="334"/>
  <c r="Z16" i="334"/>
  <c r="AA16" i="334" s="1"/>
  <c r="V23" i="334"/>
  <c r="AC45" i="334"/>
  <c r="V83" i="334"/>
  <c r="V40" i="334"/>
  <c r="V42" i="334"/>
  <c r="V47" i="334"/>
  <c r="V51" i="334"/>
  <c r="V62" i="334"/>
  <c r="V64" i="334"/>
  <c r="V78" i="334"/>
  <c r="AC43" i="334"/>
  <c r="V48" i="334"/>
  <c r="V59" i="334"/>
  <c r="V67" i="334"/>
  <c r="V32" i="334"/>
  <c r="N56" i="334"/>
  <c r="O80" i="334" s="1"/>
  <c r="V57" i="334"/>
  <c r="V66" i="334"/>
  <c r="V89" i="334"/>
  <c r="V102" i="334"/>
  <c r="V34" i="334"/>
  <c r="V16" i="334"/>
  <c r="V41" i="334"/>
  <c r="V43" i="334"/>
  <c r="AC44" i="334"/>
  <c r="V45" i="334"/>
  <c r="V52" i="334"/>
  <c r="V65" i="334"/>
  <c r="V95" i="334"/>
  <c r="V100" i="334"/>
  <c r="V58" i="334"/>
  <c r="V73" i="334"/>
  <c r="V85" i="334"/>
  <c r="V31" i="334"/>
  <c r="V61" i="334"/>
  <c r="V70" i="334"/>
  <c r="V80" i="334"/>
  <c r="V84" i="334"/>
  <c r="X84" i="334" s="1"/>
  <c r="V87" i="334"/>
  <c r="V96" i="334"/>
  <c r="V97" i="334"/>
  <c r="V101" i="334"/>
  <c r="V103" i="334"/>
  <c r="V53" i="334"/>
  <c r="V71" i="334"/>
  <c r="V98" i="334"/>
  <c r="AA15" i="334"/>
  <c r="AB102" i="334"/>
  <c r="AE26" i="334"/>
  <c r="AE27" i="334" s="1"/>
  <c r="V39" i="334"/>
  <c r="V69" i="334"/>
  <c r="V90" i="334"/>
  <c r="S13" i="334"/>
  <c r="V13" i="334" s="1"/>
  <c r="S17" i="334"/>
  <c r="V17" i="334" s="1"/>
  <c r="V27" i="334"/>
  <c r="N2" i="334"/>
  <c r="O26" i="334" s="1"/>
  <c r="V4" i="334"/>
  <c r="T9" i="334"/>
  <c r="V9" i="334" s="1"/>
  <c r="V2" i="334"/>
  <c r="V3" i="334"/>
  <c r="V15" i="334"/>
  <c r="V22" i="334"/>
  <c r="V8" i="334"/>
  <c r="V5" i="334"/>
  <c r="V6" i="334"/>
  <c r="S10" i="334"/>
  <c r="V10" i="334" s="1"/>
  <c r="V14" i="334"/>
  <c r="V20" i="334"/>
  <c r="Z14" i="334"/>
  <c r="AA10" i="334"/>
  <c r="AC58" i="334"/>
  <c r="AC61" i="334"/>
  <c r="AA69" i="334" s="1"/>
  <c r="AB95" i="334"/>
  <c r="V33" i="334"/>
  <c r="AA36" i="334"/>
  <c r="AB36" i="334" s="1"/>
  <c r="Q105" i="334"/>
  <c r="V11" i="334"/>
  <c r="V19" i="334"/>
  <c r="V21" i="334"/>
  <c r="K105" i="334"/>
  <c r="AB97" i="334"/>
  <c r="H105" i="334"/>
  <c r="AA97" i="334"/>
  <c r="AA42" i="334"/>
  <c r="V24" i="334"/>
  <c r="N50" i="334"/>
  <c r="AA92" i="334"/>
  <c r="I105" i="334"/>
  <c r="AB42" i="334"/>
  <c r="T7" i="334"/>
  <c r="AB47" i="334"/>
  <c r="AA61" i="334"/>
  <c r="AC80" i="334"/>
  <c r="AC81" i="334" s="1"/>
  <c r="V12" i="334"/>
  <c r="V25" i="334"/>
  <c r="Z37" i="334"/>
  <c r="N85" i="334"/>
  <c r="O89" i="334" s="1"/>
  <c r="U105" i="334"/>
  <c r="AD4" i="334" s="1"/>
  <c r="AB98" i="334"/>
  <c r="N27" i="334"/>
  <c r="O46" i="334" s="1"/>
  <c r="V28" i="334"/>
  <c r="V35" i="334"/>
  <c r="V36" i="334"/>
  <c r="V37" i="334"/>
  <c r="V38" i="334"/>
  <c r="V44" i="334"/>
  <c r="V49" i="334"/>
  <c r="V55" i="334"/>
  <c r="AB93" i="334"/>
  <c r="V18" i="334"/>
  <c r="V26" i="334"/>
  <c r="V30" i="334"/>
  <c r="V29" i="334"/>
  <c r="AN74" i="334"/>
  <c r="AO73" i="334"/>
  <c r="AE34" i="334"/>
  <c r="AC35" i="334"/>
  <c r="V54" i="334"/>
  <c r="V56" i="334"/>
  <c r="V72" i="334"/>
  <c r="V74" i="334"/>
  <c r="N81" i="334"/>
  <c r="V81" i="334"/>
  <c r="AA62" i="334"/>
  <c r="N94" i="334"/>
  <c r="V99" i="334"/>
  <c r="V50" i="334"/>
  <c r="AB62" i="334"/>
  <c r="AB61" i="334"/>
  <c r="V60" i="334"/>
  <c r="V63" i="334"/>
  <c r="V68" i="334"/>
  <c r="V75" i="334"/>
  <c r="V76" i="334"/>
  <c r="V77" i="334"/>
  <c r="V79" i="334"/>
  <c r="V82" i="334"/>
  <c r="V86" i="334"/>
  <c r="V88" i="334"/>
  <c r="V92" i="334"/>
  <c r="O93" i="334"/>
  <c r="W18" i="341" l="1"/>
  <c r="W19" i="341" s="1"/>
  <c r="X17" i="341"/>
  <c r="W15" i="340"/>
  <c r="X14" i="340"/>
  <c r="L9" i="339"/>
  <c r="X8" i="339"/>
  <c r="W11" i="339"/>
  <c r="X8" i="338"/>
  <c r="W9" i="338"/>
  <c r="X6" i="337"/>
  <c r="W7" i="337"/>
  <c r="X5" i="336"/>
  <c r="Z5" i="335"/>
  <c r="X3" i="335"/>
  <c r="W4" i="335"/>
  <c r="X2" i="335"/>
  <c r="AA68" i="334"/>
  <c r="O76" i="334"/>
  <c r="O67" i="334"/>
  <c r="AD36" i="334"/>
  <c r="AD37" i="334" s="1"/>
  <c r="O63" i="334"/>
  <c r="O47" i="334"/>
  <c r="O72" i="334"/>
  <c r="O75" i="334"/>
  <c r="O58" i="334"/>
  <c r="O64" i="334"/>
  <c r="O73" i="334"/>
  <c r="O61" i="334"/>
  <c r="O71" i="334"/>
  <c r="O78" i="334"/>
  <c r="O57" i="334"/>
  <c r="O79" i="334"/>
  <c r="O65" i="334"/>
  <c r="O74" i="334"/>
  <c r="O42" i="334"/>
  <c r="AE36" i="334"/>
  <c r="O59" i="334"/>
  <c r="O77" i="334"/>
  <c r="O70" i="334"/>
  <c r="O62" i="334"/>
  <c r="O66" i="334"/>
  <c r="O45" i="334"/>
  <c r="O90" i="334"/>
  <c r="O69" i="334"/>
  <c r="O60" i="334"/>
  <c r="O68" i="334"/>
  <c r="O31" i="334"/>
  <c r="O85" i="334"/>
  <c r="O33" i="334"/>
  <c r="O6" i="334"/>
  <c r="O17" i="334"/>
  <c r="O3" i="334"/>
  <c r="O14" i="334"/>
  <c r="O27" i="334"/>
  <c r="O9" i="334"/>
  <c r="O24" i="334"/>
  <c r="O8" i="334"/>
  <c r="O13" i="334"/>
  <c r="O28" i="334"/>
  <c r="O25" i="334"/>
  <c r="O4" i="334"/>
  <c r="O22" i="334"/>
  <c r="O7" i="334"/>
  <c r="O19" i="334"/>
  <c r="O2" i="334"/>
  <c r="O12" i="334"/>
  <c r="O16" i="334"/>
  <c r="O11" i="334"/>
  <c r="O5" i="334"/>
  <c r="O20" i="334"/>
  <c r="O29" i="334"/>
  <c r="O15" i="334"/>
  <c r="O10" i="334"/>
  <c r="T105" i="334"/>
  <c r="AB4" i="334" s="1"/>
  <c r="Z58" i="334" s="1"/>
  <c r="AB92" i="334"/>
  <c r="AB100" i="334"/>
  <c r="S105" i="334"/>
  <c r="AC4" i="334" s="1"/>
  <c r="Z59" i="334" s="1"/>
  <c r="O102" i="334"/>
  <c r="O100" i="334"/>
  <c r="O94" i="334"/>
  <c r="O103" i="334"/>
  <c r="O101" i="334"/>
  <c r="O97" i="334"/>
  <c r="O95" i="334"/>
  <c r="O98" i="334"/>
  <c r="O96" i="334"/>
  <c r="O99" i="334"/>
  <c r="V7" i="334"/>
  <c r="V105" i="334" s="1"/>
  <c r="O34" i="334"/>
  <c r="O43" i="334"/>
  <c r="O53" i="334"/>
  <c r="O56" i="334"/>
  <c r="O54" i="334"/>
  <c r="O32" i="334"/>
  <c r="O50" i="334"/>
  <c r="O49" i="334"/>
  <c r="O44" i="334"/>
  <c r="O38" i="334"/>
  <c r="O37" i="334"/>
  <c r="O36" i="334"/>
  <c r="O35" i="334"/>
  <c r="O41" i="334"/>
  <c r="O30" i="334"/>
  <c r="Z60" i="334"/>
  <c r="AA35" i="334"/>
  <c r="AD28" i="334"/>
  <c r="AF10" i="334"/>
  <c r="AF9" i="334" s="1"/>
  <c r="AD5" i="334"/>
  <c r="AA34" i="334" s="1"/>
  <c r="AB34" i="334" s="1"/>
  <c r="O55" i="334"/>
  <c r="AC42" i="334"/>
  <c r="N105" i="334"/>
  <c r="O39" i="334"/>
  <c r="AE35" i="334"/>
  <c r="AC37" i="334"/>
  <c r="O83" i="334"/>
  <c r="O84" i="334"/>
  <c r="O81" i="334"/>
  <c r="O82" i="334"/>
  <c r="O91" i="334"/>
  <c r="O87" i="334"/>
  <c r="O92" i="334"/>
  <c r="O86" i="334"/>
  <c r="O88" i="334"/>
  <c r="Z13" i="334"/>
  <c r="AA3" i="334"/>
  <c r="Z18" i="334"/>
  <c r="Z24" i="334" s="1"/>
  <c r="W2" i="334" s="1"/>
  <c r="AA4" i="334"/>
  <c r="W20" i="341" l="1"/>
  <c r="W21" i="341" s="1"/>
  <c r="W22" i="341" s="1"/>
  <c r="X19" i="341"/>
  <c r="X15" i="340"/>
  <c r="W16" i="340"/>
  <c r="L10" i="339"/>
  <c r="X9" i="339"/>
  <c r="W12" i="339"/>
  <c r="W10" i="338"/>
  <c r="X9" i="338"/>
  <c r="X7" i="337"/>
  <c r="W8" i="337"/>
  <c r="X6" i="336"/>
  <c r="W5" i="335"/>
  <c r="X4" i="335"/>
  <c r="AE37" i="334"/>
  <c r="AB5" i="334"/>
  <c r="AC5" i="334"/>
  <c r="AE4" i="334"/>
  <c r="AF4" i="334" s="1"/>
  <c r="W3" i="334"/>
  <c r="AA5" i="334"/>
  <c r="AG3" i="334"/>
  <c r="AF3" i="334"/>
  <c r="AD59" i="334"/>
  <c r="AE79" i="334" s="1"/>
  <c r="AB79" i="334"/>
  <c r="AD79" i="334" s="1"/>
  <c r="AK76" i="334" s="1"/>
  <c r="AL76" i="334" s="1"/>
  <c r="Z3" i="334"/>
  <c r="Z4" i="334"/>
  <c r="AA37" i="334"/>
  <c r="AB37" i="334" s="1"/>
  <c r="AB35" i="334"/>
  <c r="Z61" i="334"/>
  <c r="Z62" i="334"/>
  <c r="AB78" i="334"/>
  <c r="AD58" i="334"/>
  <c r="AG4" i="334"/>
  <c r="L2" i="334"/>
  <c r="L3" i="334" s="1"/>
  <c r="L4" i="334" s="1"/>
  <c r="L5" i="334" s="1"/>
  <c r="L6" i="334" s="1"/>
  <c r="L7" i="334" s="1"/>
  <c r="L8" i="334" s="1"/>
  <c r="L9" i="334" s="1"/>
  <c r="L10" i="334" s="1"/>
  <c r="L11" i="334" s="1"/>
  <c r="L12" i="334" s="1"/>
  <c r="L13" i="334" s="1"/>
  <c r="L14" i="334" s="1"/>
  <c r="L15" i="334" s="1"/>
  <c r="L16" i="334" s="1"/>
  <c r="L17" i="334" s="1"/>
  <c r="L18" i="334" s="1"/>
  <c r="L19" i="334" s="1"/>
  <c r="L20" i="334" s="1"/>
  <c r="L21" i="334" s="1"/>
  <c r="L22" i="334" s="1"/>
  <c r="L23" i="334" s="1"/>
  <c r="L24" i="334" s="1"/>
  <c r="L25" i="334" s="1"/>
  <c r="L26" i="334" s="1"/>
  <c r="L27" i="334" s="1"/>
  <c r="L28" i="334" s="1"/>
  <c r="L29" i="334" s="1"/>
  <c r="L30" i="334" s="1"/>
  <c r="L31" i="334" s="1"/>
  <c r="L32" i="334" s="1"/>
  <c r="L33" i="334" s="1"/>
  <c r="L34" i="334" s="1"/>
  <c r="L35" i="334" s="1"/>
  <c r="L36" i="334" s="1"/>
  <c r="L37" i="334" s="1"/>
  <c r="L38" i="334" s="1"/>
  <c r="L39" i="334" s="1"/>
  <c r="L40" i="334" s="1"/>
  <c r="L41" i="334" s="1"/>
  <c r="L42" i="334" s="1"/>
  <c r="L43" i="334" s="1"/>
  <c r="L44" i="334" s="1"/>
  <c r="L45" i="334" s="1"/>
  <c r="L46" i="334" s="1"/>
  <c r="L47" i="334" s="1"/>
  <c r="L48" i="334" s="1"/>
  <c r="L49" i="334" s="1"/>
  <c r="L50" i="334" s="1"/>
  <c r="L51" i="334" s="1"/>
  <c r="L52" i="334" s="1"/>
  <c r="L53" i="334" s="1"/>
  <c r="L54" i="334" s="1"/>
  <c r="L55" i="334" s="1"/>
  <c r="L56" i="334" s="1"/>
  <c r="L57" i="334" s="1"/>
  <c r="L58" i="334" s="1"/>
  <c r="L59" i="334" s="1"/>
  <c r="L60" i="334" s="1"/>
  <c r="L61" i="334" s="1"/>
  <c r="L62" i="334" s="1"/>
  <c r="L63" i="334" s="1"/>
  <c r="L64" i="334" s="1"/>
  <c r="L65" i="334" s="1"/>
  <c r="L66" i="334" s="1"/>
  <c r="L67" i="334" s="1"/>
  <c r="L68" i="334" s="1"/>
  <c r="L69" i="334" s="1"/>
  <c r="L70" i="334" s="1"/>
  <c r="L71" i="334" s="1"/>
  <c r="L72" i="334" s="1"/>
  <c r="L73" i="334" s="1"/>
  <c r="L74" i="334" s="1"/>
  <c r="L75" i="334" s="1"/>
  <c r="L76" i="334" s="1"/>
  <c r="L77" i="334" s="1"/>
  <c r="L78" i="334" s="1"/>
  <c r="L79" i="334" s="1"/>
  <c r="L80" i="334" s="1"/>
  <c r="L81" i="334" s="1"/>
  <c r="L82" i="334" s="1"/>
  <c r="L83" i="334" s="1"/>
  <c r="L84" i="334" s="1"/>
  <c r="L85" i="334" s="1"/>
  <c r="L86" i="334" s="1"/>
  <c r="L87" i="334" s="1"/>
  <c r="L88" i="334" s="1"/>
  <c r="L89" i="334" s="1"/>
  <c r="L90" i="334" s="1"/>
  <c r="L91" i="334" s="1"/>
  <c r="L92" i="334" s="1"/>
  <c r="L93" i="334" s="1"/>
  <c r="L94" i="334" s="1"/>
  <c r="L95" i="334" s="1"/>
  <c r="L96" i="334" s="1"/>
  <c r="L97" i="334" s="1"/>
  <c r="L98" i="334" s="1"/>
  <c r="L99" i="334" s="1"/>
  <c r="L100" i="334" s="1"/>
  <c r="L101" i="334" s="1"/>
  <c r="L102" i="334" s="1"/>
  <c r="L103" i="334" s="1"/>
  <c r="L105" i="334" s="1"/>
  <c r="AD60" i="334"/>
  <c r="AE80" i="334" s="1"/>
  <c r="AB80" i="334"/>
  <c r="AD80" i="334" s="1"/>
  <c r="AK77" i="334" s="1"/>
  <c r="AL77" i="334" s="1"/>
  <c r="Z53" i="334"/>
  <c r="W23" i="341" l="1"/>
  <c r="W24" i="341" s="1"/>
  <c r="X22" i="341"/>
  <c r="X16" i="340"/>
  <c r="W17" i="340"/>
  <c r="L11" i="339"/>
  <c r="X10" i="339"/>
  <c r="W13" i="339"/>
  <c r="X10" i="338"/>
  <c r="W11" i="338"/>
  <c r="W9" i="337"/>
  <c r="X8" i="337"/>
  <c r="X7" i="336"/>
  <c r="X5" i="335"/>
  <c r="W6" i="335"/>
  <c r="AE5" i="334"/>
  <c r="AF80" i="334"/>
  <c r="Z5" i="334"/>
  <c r="AE78" i="334"/>
  <c r="AN75" i="334"/>
  <c r="AN76" i="334" s="1"/>
  <c r="AD61" i="334"/>
  <c r="AD62" i="334"/>
  <c r="Z70" i="334"/>
  <c r="AB17" i="334"/>
  <c r="AG5" i="334"/>
  <c r="AB81" i="334"/>
  <c r="AD78" i="334"/>
  <c r="AF79" i="334"/>
  <c r="X2" i="334"/>
  <c r="AF5" i="334"/>
  <c r="W4" i="334"/>
  <c r="X3" i="334"/>
  <c r="X24" i="341" l="1"/>
  <c r="W25" i="341"/>
  <c r="X17" i="340"/>
  <c r="W18" i="340"/>
  <c r="W19" i="340" s="1"/>
  <c r="L12" i="339"/>
  <c r="X11" i="339"/>
  <c r="W14" i="339"/>
  <c r="X11" i="338"/>
  <c r="W12" i="338"/>
  <c r="W10" i="337"/>
  <c r="X9" i="337"/>
  <c r="X8" i="336"/>
  <c r="X6" i="335"/>
  <c r="W7" i="335"/>
  <c r="W5" i="334"/>
  <c r="X4" i="334"/>
  <c r="AD81" i="334"/>
  <c r="AK75" i="334"/>
  <c r="AE81" i="334"/>
  <c r="AF78" i="334"/>
  <c r="AF81" i="334" s="1"/>
  <c r="W26" i="341" l="1"/>
  <c r="X25" i="341"/>
  <c r="X19" i="340"/>
  <c r="W20" i="340"/>
  <c r="W21" i="340" s="1"/>
  <c r="W22" i="340" s="1"/>
  <c r="L13" i="339"/>
  <c r="X12" i="339"/>
  <c r="W15" i="339"/>
  <c r="W13" i="338"/>
  <c r="X12" i="338"/>
  <c r="W11" i="337"/>
  <c r="X10" i="337"/>
  <c r="X9" i="336"/>
  <c r="X7" i="335"/>
  <c r="W8" i="335"/>
  <c r="W6" i="334"/>
  <c r="X5" i="334"/>
  <c r="AK78" i="334"/>
  <c r="AL79" i="334" s="1"/>
  <c r="AL75" i="334"/>
  <c r="AL78" i="334" s="1"/>
  <c r="W27" i="341" l="1"/>
  <c r="X26" i="341"/>
  <c r="W23" i="340"/>
  <c r="W24" i="340" s="1"/>
  <c r="X22" i="340"/>
  <c r="L14" i="339"/>
  <c r="X13" i="339"/>
  <c r="W16" i="339"/>
  <c r="X13" i="338"/>
  <c r="W14" i="338"/>
  <c r="W12" i="337"/>
  <c r="X11" i="337"/>
  <c r="X10" i="336"/>
  <c r="W9" i="335"/>
  <c r="X8" i="335"/>
  <c r="W7" i="334"/>
  <c r="X6" i="334"/>
  <c r="X27" i="341" l="1"/>
  <c r="W28" i="341"/>
  <c r="W25" i="340"/>
  <c r="X24" i="340"/>
  <c r="L15" i="339"/>
  <c r="X14" i="339"/>
  <c r="W17" i="339"/>
  <c r="X14" i="338"/>
  <c r="W15" i="338"/>
  <c r="X12" i="337"/>
  <c r="W13" i="337"/>
  <c r="X11" i="336"/>
  <c r="X9" i="335"/>
  <c r="W10" i="335"/>
  <c r="W8" i="334"/>
  <c r="X7" i="334"/>
  <c r="X28" i="341" l="1"/>
  <c r="W29" i="341"/>
  <c r="X25" i="340"/>
  <c r="W26" i="340"/>
  <c r="L16" i="339"/>
  <c r="X15" i="339"/>
  <c r="W18" i="339"/>
  <c r="W19" i="339" s="1"/>
  <c r="W16" i="338"/>
  <c r="X15" i="338"/>
  <c r="W14" i="337"/>
  <c r="X13" i="337"/>
  <c r="X12" i="336"/>
  <c r="W11" i="335"/>
  <c r="X10" i="335"/>
  <c r="W9" i="334"/>
  <c r="X8" i="334"/>
  <c r="X29" i="341" l="1"/>
  <c r="W30" i="341"/>
  <c r="W27" i="340"/>
  <c r="X26" i="340"/>
  <c r="L17" i="339"/>
  <c r="X16" i="339"/>
  <c r="W20" i="339"/>
  <c r="W21" i="339" s="1"/>
  <c r="W22" i="339" s="1"/>
  <c r="W17" i="338"/>
  <c r="X16" i="338"/>
  <c r="W15" i="337"/>
  <c r="X14" i="337"/>
  <c r="X13" i="336"/>
  <c r="W12" i="335"/>
  <c r="X11" i="335"/>
  <c r="X9" i="334"/>
  <c r="W10" i="334"/>
  <c r="W31" i="341" l="1"/>
  <c r="X30" i="341"/>
  <c r="W28" i="340"/>
  <c r="X27" i="340"/>
  <c r="L18" i="339"/>
  <c r="L19" i="339" s="1"/>
  <c r="X17" i="339"/>
  <c r="W23" i="339"/>
  <c r="W24" i="339" s="1"/>
  <c r="W18" i="338"/>
  <c r="W19" i="338" s="1"/>
  <c r="X17" i="338"/>
  <c r="W16" i="337"/>
  <c r="X15" i="337"/>
  <c r="X14" i="336"/>
  <c r="X12" i="335"/>
  <c r="W13" i="335"/>
  <c r="X10" i="334"/>
  <c r="W11" i="334"/>
  <c r="W32" i="341" l="1"/>
  <c r="X31" i="341"/>
  <c r="W29" i="340"/>
  <c r="X28" i="340"/>
  <c r="L20" i="339"/>
  <c r="L21" i="339" s="1"/>
  <c r="L22" i="339" s="1"/>
  <c r="X19" i="339"/>
  <c r="W25" i="339"/>
  <c r="X19" i="338"/>
  <c r="W20" i="338"/>
  <c r="W21" i="338" s="1"/>
  <c r="W22" i="338" s="1"/>
  <c r="X16" i="337"/>
  <c r="W17" i="337"/>
  <c r="X15" i="336"/>
  <c r="W14" i="335"/>
  <c r="X13" i="335"/>
  <c r="W12" i="334"/>
  <c r="X11" i="334"/>
  <c r="W33" i="341" l="1"/>
  <c r="X32" i="341"/>
  <c r="X29" i="340"/>
  <c r="W30" i="340"/>
  <c r="L23" i="339"/>
  <c r="L24" i="339" s="1"/>
  <c r="X22" i="339"/>
  <c r="W26" i="339"/>
  <c r="W23" i="338"/>
  <c r="W24" i="338" s="1"/>
  <c r="X22" i="338"/>
  <c r="X17" i="337"/>
  <c r="W18" i="337"/>
  <c r="W19" i="337" s="1"/>
  <c r="X16" i="336"/>
  <c r="W15" i="335"/>
  <c r="X14" i="335"/>
  <c r="X12" i="334"/>
  <c r="W13" i="334"/>
  <c r="W34" i="341" l="1"/>
  <c r="X33" i="341"/>
  <c r="X30" i="340"/>
  <c r="W31" i="340"/>
  <c r="L25" i="339"/>
  <c r="X24" i="339"/>
  <c r="W27" i="339"/>
  <c r="W25" i="338"/>
  <c r="X24" i="338"/>
  <c r="X19" i="337"/>
  <c r="W20" i="337"/>
  <c r="W21" i="337" s="1"/>
  <c r="W22" i="337" s="1"/>
  <c r="X17" i="336"/>
  <c r="X15" i="335"/>
  <c r="W16" i="335"/>
  <c r="W14" i="334"/>
  <c r="X13" i="334"/>
  <c r="W35" i="341" l="1"/>
  <c r="X34" i="341"/>
  <c r="W32" i="340"/>
  <c r="X31" i="340"/>
  <c r="L26" i="339"/>
  <c r="X25" i="339"/>
  <c r="W28" i="339"/>
  <c r="W26" i="338"/>
  <c r="X25" i="338"/>
  <c r="W23" i="337"/>
  <c r="W24" i="337" s="1"/>
  <c r="X22" i="337"/>
  <c r="X19" i="336"/>
  <c r="X16" i="335"/>
  <c r="W17" i="335"/>
  <c r="W15" i="334"/>
  <c r="X14" i="334"/>
  <c r="X35" i="341" l="1"/>
  <c r="W36" i="341"/>
  <c r="X32" i="340"/>
  <c r="W33" i="340"/>
  <c r="L27" i="339"/>
  <c r="X26" i="339"/>
  <c r="W29" i="339"/>
  <c r="X26" i="338"/>
  <c r="W27" i="338"/>
  <c r="X24" i="337"/>
  <c r="W25" i="337"/>
  <c r="X22" i="336"/>
  <c r="X17" i="335"/>
  <c r="W18" i="335"/>
  <c r="W19" i="335" s="1"/>
  <c r="W16" i="334"/>
  <c r="X15" i="334"/>
  <c r="X36" i="341" l="1"/>
  <c r="W37" i="341"/>
  <c r="W34" i="340"/>
  <c r="X33" i="340"/>
  <c r="L28" i="339"/>
  <c r="X27" i="339"/>
  <c r="W30" i="339"/>
  <c r="W28" i="338"/>
  <c r="X27" i="338"/>
  <c r="X25" i="337"/>
  <c r="W26" i="337"/>
  <c r="X24" i="336"/>
  <c r="X19" i="335"/>
  <c r="W20" i="335"/>
  <c r="W21" i="335" s="1"/>
  <c r="W22" i="335" s="1"/>
  <c r="X16" i="334"/>
  <c r="W17" i="334"/>
  <c r="X37" i="341" l="1"/>
  <c r="W38" i="341"/>
  <c r="W35" i="340"/>
  <c r="X34" i="340"/>
  <c r="L29" i="339"/>
  <c r="X28" i="339"/>
  <c r="W31" i="339"/>
  <c r="X28" i="338"/>
  <c r="W29" i="338"/>
  <c r="W27" i="337"/>
  <c r="X26" i="337"/>
  <c r="X25" i="336"/>
  <c r="W24" i="335"/>
  <c r="W23" i="335"/>
  <c r="X22" i="335"/>
  <c r="W18" i="334"/>
  <c r="W19" i="334" s="1"/>
  <c r="X17" i="334"/>
  <c r="X38" i="341" l="1"/>
  <c r="W39" i="341"/>
  <c r="X35" i="340"/>
  <c r="W36" i="340"/>
  <c r="L30" i="339"/>
  <c r="X29" i="339"/>
  <c r="W32" i="339"/>
  <c r="X29" i="338"/>
  <c r="W30" i="338"/>
  <c r="X27" i="337"/>
  <c r="W28" i="337"/>
  <c r="X26" i="336"/>
  <c r="W25" i="335"/>
  <c r="X24" i="335"/>
  <c r="W20" i="334"/>
  <c r="W21" i="334" s="1"/>
  <c r="W22" i="334" s="1"/>
  <c r="X19" i="334"/>
  <c r="X39" i="341" l="1"/>
  <c r="W40" i="341"/>
  <c r="W41" i="341" s="1"/>
  <c r="X36" i="340"/>
  <c r="W37" i="340"/>
  <c r="L31" i="339"/>
  <c r="X30" i="339"/>
  <c r="W33" i="339"/>
  <c r="W31" i="338"/>
  <c r="X30" i="338"/>
  <c r="W29" i="337"/>
  <c r="X28" i="337"/>
  <c r="X27" i="336"/>
  <c r="X25" i="335"/>
  <c r="W26" i="335"/>
  <c r="W24" i="334"/>
  <c r="W23" i="334"/>
  <c r="X22" i="334"/>
  <c r="W42" i="341" l="1"/>
  <c r="X41" i="341"/>
  <c r="X37" i="340"/>
  <c r="W38" i="340"/>
  <c r="L32" i="339"/>
  <c r="X31" i="339"/>
  <c r="W34" i="339"/>
  <c r="W32" i="338"/>
  <c r="X31" i="338"/>
  <c r="W30" i="337"/>
  <c r="X29" i="337"/>
  <c r="X28" i="336"/>
  <c r="W27" i="335"/>
  <c r="X26" i="335"/>
  <c r="X24" i="334"/>
  <c r="W25" i="334"/>
  <c r="W43" i="341" l="1"/>
  <c r="X42" i="341"/>
  <c r="W39" i="340"/>
  <c r="X38" i="340"/>
  <c r="L33" i="339"/>
  <c r="X32" i="339"/>
  <c r="W35" i="339"/>
  <c r="W33" i="338"/>
  <c r="X32" i="338"/>
  <c r="W31" i="337"/>
  <c r="X30" i="337"/>
  <c r="X29" i="336"/>
  <c r="W28" i="335"/>
  <c r="X27" i="335"/>
  <c r="W26" i="334"/>
  <c r="X25" i="334"/>
  <c r="W44" i="341" l="1"/>
  <c r="X43" i="341"/>
  <c r="W40" i="340"/>
  <c r="W41" i="340" s="1"/>
  <c r="X39" i="340"/>
  <c r="L34" i="339"/>
  <c r="X33" i="339"/>
  <c r="W36" i="339"/>
  <c r="W34" i="338"/>
  <c r="X33" i="338"/>
  <c r="X31" i="337"/>
  <c r="W32" i="337"/>
  <c r="X30" i="336"/>
  <c r="W29" i="335"/>
  <c r="X28" i="335"/>
  <c r="X26" i="334"/>
  <c r="W27" i="334"/>
  <c r="X44" i="341" l="1"/>
  <c r="W45" i="341"/>
  <c r="X41" i="340"/>
  <c r="W42" i="340"/>
  <c r="L35" i="339"/>
  <c r="X34" i="339"/>
  <c r="W37" i="339"/>
  <c r="X34" i="338"/>
  <c r="W35" i="338"/>
  <c r="W33" i="337"/>
  <c r="X32" i="337"/>
  <c r="X31" i="336"/>
  <c r="W30" i="335"/>
  <c r="X29" i="335"/>
  <c r="X27" i="334"/>
  <c r="W28" i="334"/>
  <c r="X45" i="341" l="1"/>
  <c r="W46" i="341"/>
  <c r="W43" i="340"/>
  <c r="X42" i="340"/>
  <c r="L36" i="339"/>
  <c r="X35" i="339"/>
  <c r="W38" i="339"/>
  <c r="W36" i="338"/>
  <c r="X35" i="338"/>
  <c r="X33" i="337"/>
  <c r="W34" i="337"/>
  <c r="X32" i="336"/>
  <c r="W31" i="335"/>
  <c r="X30" i="335"/>
  <c r="W29" i="334"/>
  <c r="X28" i="334"/>
  <c r="X46" i="341" l="1"/>
  <c r="W47" i="341"/>
  <c r="X43" i="340"/>
  <c r="W44" i="340"/>
  <c r="L37" i="339"/>
  <c r="X36" i="339"/>
  <c r="W39" i="339"/>
  <c r="W37" i="338"/>
  <c r="X36" i="338"/>
  <c r="W35" i="337"/>
  <c r="X34" i="337"/>
  <c r="X33" i="336"/>
  <c r="X31" i="335"/>
  <c r="W32" i="335"/>
  <c r="X29" i="334"/>
  <c r="W30" i="334"/>
  <c r="X47" i="341" l="1"/>
  <c r="W48" i="341"/>
  <c r="W49" i="341" s="1"/>
  <c r="W45" i="340"/>
  <c r="X44" i="340"/>
  <c r="L38" i="339"/>
  <c r="X37" i="339"/>
  <c r="W40" i="339"/>
  <c r="W41" i="339" s="1"/>
  <c r="W38" i="338"/>
  <c r="X37" i="338"/>
  <c r="W36" i="337"/>
  <c r="X35" i="337"/>
  <c r="X34" i="336"/>
  <c r="X32" i="335"/>
  <c r="W33" i="335"/>
  <c r="X30" i="334"/>
  <c r="W31" i="334"/>
  <c r="W50" i="341" l="1"/>
  <c r="X49" i="341"/>
  <c r="W46" i="340"/>
  <c r="X45" i="340"/>
  <c r="L39" i="339"/>
  <c r="X38" i="339"/>
  <c r="W42" i="339"/>
  <c r="W39" i="338"/>
  <c r="X38" i="338"/>
  <c r="W37" i="337"/>
  <c r="X36" i="337"/>
  <c r="X35" i="336"/>
  <c r="W34" i="335"/>
  <c r="X33" i="335"/>
  <c r="W32" i="334"/>
  <c r="X31" i="334"/>
  <c r="W51" i="341" l="1"/>
  <c r="W52" i="341" s="1"/>
  <c r="W53" i="341" s="1"/>
  <c r="X50" i="341"/>
  <c r="X46" i="340"/>
  <c r="W47" i="340"/>
  <c r="L40" i="339"/>
  <c r="L41" i="339" s="1"/>
  <c r="X39" i="339"/>
  <c r="W43" i="339"/>
  <c r="W40" i="338"/>
  <c r="W41" i="338" s="1"/>
  <c r="X39" i="338"/>
  <c r="W38" i="337"/>
  <c r="X37" i="337"/>
  <c r="X36" i="336"/>
  <c r="X34" i="335"/>
  <c r="W35" i="335"/>
  <c r="X32" i="334"/>
  <c r="W33" i="334"/>
  <c r="W54" i="341" l="1"/>
  <c r="X53" i="341"/>
  <c r="W48" i="340"/>
  <c r="W49" i="340" s="1"/>
  <c r="X47" i="340"/>
  <c r="L42" i="339"/>
  <c r="X41" i="339"/>
  <c r="W44" i="339"/>
  <c r="W42" i="338"/>
  <c r="X41" i="338"/>
  <c r="W39" i="337"/>
  <c r="X38" i="337"/>
  <c r="X37" i="336"/>
  <c r="W36" i="335"/>
  <c r="X35" i="335"/>
  <c r="W34" i="334"/>
  <c r="X33" i="334"/>
  <c r="X54" i="341" l="1"/>
  <c r="W55" i="341"/>
  <c r="W50" i="340"/>
  <c r="X49" i="340"/>
  <c r="L43" i="339"/>
  <c r="X42" i="339"/>
  <c r="W45" i="339"/>
  <c r="W43" i="338"/>
  <c r="X42" i="338"/>
  <c r="X39" i="337"/>
  <c r="W40" i="337"/>
  <c r="W41" i="337" s="1"/>
  <c r="X38" i="336"/>
  <c r="W37" i="335"/>
  <c r="X36" i="335"/>
  <c r="W35" i="334"/>
  <c r="X34" i="334"/>
  <c r="X55" i="341" l="1"/>
  <c r="W56" i="341"/>
  <c r="W51" i="340"/>
  <c r="W52" i="340" s="1"/>
  <c r="W53" i="340" s="1"/>
  <c r="X50" i="340"/>
  <c r="L44" i="339"/>
  <c r="X43" i="339"/>
  <c r="W46" i="339"/>
  <c r="X43" i="338"/>
  <c r="W44" i="338"/>
  <c r="X41" i="337"/>
  <c r="W42" i="337"/>
  <c r="X39" i="336"/>
  <c r="X37" i="335"/>
  <c r="W38" i="335"/>
  <c r="W36" i="334"/>
  <c r="X35" i="334"/>
  <c r="W57" i="341" l="1"/>
  <c r="W58" i="341" s="1"/>
  <c r="W59" i="341" s="1"/>
  <c r="W60" i="341" s="1"/>
  <c r="W61" i="341" s="1"/>
  <c r="W62" i="341" s="1"/>
  <c r="W63" i="341" s="1"/>
  <c r="W64" i="341" s="1"/>
  <c r="W65" i="341" s="1"/>
  <c r="W66" i="341" s="1"/>
  <c r="W67" i="341" s="1"/>
  <c r="W68" i="341" s="1"/>
  <c r="W69" i="341" s="1"/>
  <c r="W70" i="341" s="1"/>
  <c r="W71" i="341" s="1"/>
  <c r="W72" i="341" s="1"/>
  <c r="W73" i="341" s="1"/>
  <c r="W74" i="341" s="1"/>
  <c r="W75" i="341" s="1"/>
  <c r="W76" i="341" s="1"/>
  <c r="W77" i="341" s="1"/>
  <c r="W78" i="341" s="1"/>
  <c r="W79" i="341" s="1"/>
  <c r="W80" i="341" s="1"/>
  <c r="W81" i="341" s="1"/>
  <c r="W82" i="341" s="1"/>
  <c r="W83" i="341" s="1"/>
  <c r="W84" i="341" s="1"/>
  <c r="W85" i="341" s="1"/>
  <c r="W86" i="341" s="1"/>
  <c r="W87" i="341" s="1"/>
  <c r="W88" i="341" s="1"/>
  <c r="W89" i="341" s="1"/>
  <c r="W90" i="341" s="1"/>
  <c r="W91" i="341" s="1"/>
  <c r="W92" i="341" s="1"/>
  <c r="W93" i="341" s="1"/>
  <c r="W94" i="341" s="1"/>
  <c r="W95" i="341" s="1"/>
  <c r="W96" i="341" s="1"/>
  <c r="W97" i="341" s="1"/>
  <c r="W98" i="341" s="1"/>
  <c r="W99" i="341" s="1"/>
  <c r="W100" i="341" s="1"/>
  <c r="W101" i="341" s="1"/>
  <c r="W102" i="341" s="1"/>
  <c r="W103" i="341" s="1"/>
  <c r="W105" i="341" s="1"/>
  <c r="X56" i="341"/>
  <c r="W54" i="340"/>
  <c r="X53" i="340"/>
  <c r="L45" i="339"/>
  <c r="X44" i="339"/>
  <c r="W47" i="339"/>
  <c r="X44" i="338"/>
  <c r="W45" i="338"/>
  <c r="X42" i="337"/>
  <c r="W43" i="337"/>
  <c r="X41" i="336"/>
  <c r="W39" i="335"/>
  <c r="X38" i="335"/>
  <c r="W37" i="334"/>
  <c r="X36" i="334"/>
  <c r="X54" i="340" l="1"/>
  <c r="W55" i="340"/>
  <c r="L46" i="339"/>
  <c r="X45" i="339"/>
  <c r="W48" i="339"/>
  <c r="W49" i="339" s="1"/>
  <c r="X45" i="338"/>
  <c r="W46" i="338"/>
  <c r="X43" i="337"/>
  <c r="W44" i="337"/>
  <c r="X42" i="336"/>
  <c r="W40" i="335"/>
  <c r="W41" i="335" s="1"/>
  <c r="X39" i="335"/>
  <c r="W38" i="334"/>
  <c r="X37" i="334"/>
  <c r="X55" i="340" l="1"/>
  <c r="W56" i="340"/>
  <c r="L47" i="339"/>
  <c r="X46" i="339"/>
  <c r="W50" i="339"/>
  <c r="X46" i="338"/>
  <c r="W47" i="338"/>
  <c r="W45" i="337"/>
  <c r="X44" i="337"/>
  <c r="X43" i="336"/>
  <c r="X41" i="335"/>
  <c r="W42" i="335"/>
  <c r="X38" i="334"/>
  <c r="W39" i="334"/>
  <c r="W57" i="340" l="1"/>
  <c r="W58" i="340" s="1"/>
  <c r="W59" i="340" s="1"/>
  <c r="W60" i="340" s="1"/>
  <c r="W61" i="340" s="1"/>
  <c r="W62" i="340" s="1"/>
  <c r="W63" i="340" s="1"/>
  <c r="W64" i="340" s="1"/>
  <c r="W65" i="340" s="1"/>
  <c r="W66" i="340" s="1"/>
  <c r="W67" i="340" s="1"/>
  <c r="W68" i="340" s="1"/>
  <c r="W69" i="340" s="1"/>
  <c r="W70" i="340" s="1"/>
  <c r="W71" i="340" s="1"/>
  <c r="W72" i="340" s="1"/>
  <c r="W73" i="340" s="1"/>
  <c r="W74" i="340" s="1"/>
  <c r="W75" i="340" s="1"/>
  <c r="W76" i="340" s="1"/>
  <c r="W77" i="340" s="1"/>
  <c r="W78" i="340" s="1"/>
  <c r="W79" i="340" s="1"/>
  <c r="W80" i="340" s="1"/>
  <c r="W81" i="340" s="1"/>
  <c r="W82" i="340" s="1"/>
  <c r="W83" i="340" s="1"/>
  <c r="W84" i="340" s="1"/>
  <c r="W85" i="340" s="1"/>
  <c r="W86" i="340" s="1"/>
  <c r="W87" i="340" s="1"/>
  <c r="W88" i="340" s="1"/>
  <c r="W89" i="340" s="1"/>
  <c r="W90" i="340" s="1"/>
  <c r="W91" i="340" s="1"/>
  <c r="W92" i="340" s="1"/>
  <c r="W93" i="340" s="1"/>
  <c r="W94" i="340" s="1"/>
  <c r="W95" i="340" s="1"/>
  <c r="W96" i="340" s="1"/>
  <c r="W97" i="340" s="1"/>
  <c r="W98" i="340" s="1"/>
  <c r="W99" i="340" s="1"/>
  <c r="W100" i="340" s="1"/>
  <c r="W101" i="340" s="1"/>
  <c r="W102" i="340" s="1"/>
  <c r="W103" i="340" s="1"/>
  <c r="W105" i="340" s="1"/>
  <c r="X56" i="340"/>
  <c r="L48" i="339"/>
  <c r="L49" i="339" s="1"/>
  <c r="X47" i="339"/>
  <c r="W51" i="339"/>
  <c r="W52" i="339" s="1"/>
  <c r="W53" i="339" s="1"/>
  <c r="W48" i="338"/>
  <c r="W49" i="338" s="1"/>
  <c r="X47" i="338"/>
  <c r="W46" i="337"/>
  <c r="X45" i="337"/>
  <c r="X44" i="336"/>
  <c r="W43" i="335"/>
  <c r="X42" i="335"/>
  <c r="W40" i="334"/>
  <c r="W41" i="334" s="1"/>
  <c r="X39" i="334"/>
  <c r="L50" i="339" l="1"/>
  <c r="X49" i="339"/>
  <c r="W54" i="339"/>
  <c r="W50" i="338"/>
  <c r="X49" i="338"/>
  <c r="W47" i="337"/>
  <c r="X46" i="337"/>
  <c r="X45" i="336"/>
  <c r="W44" i="335"/>
  <c r="X43" i="335"/>
  <c r="X41" i="334"/>
  <c r="W42" i="334"/>
  <c r="L51" i="339" l="1"/>
  <c r="L52" i="339" s="1"/>
  <c r="L53" i="339" s="1"/>
  <c r="X50" i="339"/>
  <c r="W55" i="339"/>
  <c r="W51" i="338"/>
  <c r="W52" i="338" s="1"/>
  <c r="W53" i="338" s="1"/>
  <c r="X50" i="338"/>
  <c r="X47" i="337"/>
  <c r="W48" i="337"/>
  <c r="W49" i="337" s="1"/>
  <c r="X46" i="336"/>
  <c r="W45" i="335"/>
  <c r="X44" i="335"/>
  <c r="W43" i="334"/>
  <c r="X42" i="334"/>
  <c r="L54" i="339" l="1"/>
  <c r="X53" i="339"/>
  <c r="W56" i="339"/>
  <c r="W54" i="338"/>
  <c r="X53" i="338"/>
  <c r="X49" i="337"/>
  <c r="W50" i="337"/>
  <c r="X47" i="336"/>
  <c r="W46" i="335"/>
  <c r="X45" i="335"/>
  <c r="W44" i="334"/>
  <c r="X43" i="334"/>
  <c r="L55" i="339" l="1"/>
  <c r="X54" i="339"/>
  <c r="W57" i="339"/>
  <c r="W58" i="339" s="1"/>
  <c r="W59" i="339" s="1"/>
  <c r="W60" i="339" s="1"/>
  <c r="W61" i="339" s="1"/>
  <c r="W62" i="339" s="1"/>
  <c r="W63" i="339" s="1"/>
  <c r="W64" i="339" s="1"/>
  <c r="W65" i="339" s="1"/>
  <c r="W66" i="339" s="1"/>
  <c r="W67" i="339" s="1"/>
  <c r="W68" i="339" s="1"/>
  <c r="W69" i="339" s="1"/>
  <c r="W70" i="339" s="1"/>
  <c r="W71" i="339" s="1"/>
  <c r="W72" i="339" s="1"/>
  <c r="W73" i="339" s="1"/>
  <c r="W74" i="339" s="1"/>
  <c r="W75" i="339" s="1"/>
  <c r="W76" i="339" s="1"/>
  <c r="W77" i="339" s="1"/>
  <c r="W78" i="339" s="1"/>
  <c r="W79" i="339" s="1"/>
  <c r="W80" i="339" s="1"/>
  <c r="W81" i="339" s="1"/>
  <c r="W82" i="339" s="1"/>
  <c r="W83" i="339" s="1"/>
  <c r="W84" i="339" s="1"/>
  <c r="W85" i="339" s="1"/>
  <c r="W86" i="339" s="1"/>
  <c r="W87" i="339" s="1"/>
  <c r="W88" i="339" s="1"/>
  <c r="W89" i="339" s="1"/>
  <c r="W90" i="339" s="1"/>
  <c r="W91" i="339" s="1"/>
  <c r="W92" i="339" s="1"/>
  <c r="W93" i="339" s="1"/>
  <c r="W94" i="339" s="1"/>
  <c r="W95" i="339" s="1"/>
  <c r="W96" i="339" s="1"/>
  <c r="W97" i="339" s="1"/>
  <c r="W98" i="339" s="1"/>
  <c r="W99" i="339" s="1"/>
  <c r="W100" i="339" s="1"/>
  <c r="W101" i="339" s="1"/>
  <c r="W102" i="339" s="1"/>
  <c r="W103" i="339" s="1"/>
  <c r="W105" i="339" s="1"/>
  <c r="W55" i="338"/>
  <c r="X54" i="338"/>
  <c r="W51" i="337"/>
  <c r="W52" i="337" s="1"/>
  <c r="W53" i="337" s="1"/>
  <c r="X50" i="337"/>
  <c r="X49" i="336"/>
  <c r="X46" i="335"/>
  <c r="W47" i="335"/>
  <c r="X44" i="334"/>
  <c r="W45" i="334"/>
  <c r="L56" i="339" l="1"/>
  <c r="X55" i="339"/>
  <c r="X55" i="338"/>
  <c r="W56" i="338"/>
  <c r="W54" i="337"/>
  <c r="X53" i="337"/>
  <c r="X50" i="336"/>
  <c r="W48" i="335"/>
  <c r="W49" i="335" s="1"/>
  <c r="X47" i="335"/>
  <c r="W46" i="334"/>
  <c r="X45" i="334"/>
  <c r="L57" i="339" l="1"/>
  <c r="L58" i="339" s="1"/>
  <c r="L59" i="339" s="1"/>
  <c r="L60" i="339" s="1"/>
  <c r="L61" i="339" s="1"/>
  <c r="L62" i="339" s="1"/>
  <c r="L63" i="339" s="1"/>
  <c r="L64" i="339" s="1"/>
  <c r="L65" i="339" s="1"/>
  <c r="L66" i="339" s="1"/>
  <c r="L67" i="339" s="1"/>
  <c r="L68" i="339" s="1"/>
  <c r="L69" i="339" s="1"/>
  <c r="L70" i="339" s="1"/>
  <c r="L71" i="339" s="1"/>
  <c r="L72" i="339" s="1"/>
  <c r="L73" i="339" s="1"/>
  <c r="L74" i="339" s="1"/>
  <c r="L75" i="339" s="1"/>
  <c r="L76" i="339" s="1"/>
  <c r="L77" i="339" s="1"/>
  <c r="L78" i="339" s="1"/>
  <c r="L79" i="339" s="1"/>
  <c r="L80" i="339" s="1"/>
  <c r="L81" i="339" s="1"/>
  <c r="L82" i="339" s="1"/>
  <c r="L83" i="339" s="1"/>
  <c r="L84" i="339" s="1"/>
  <c r="L85" i="339" s="1"/>
  <c r="L86" i="339" s="1"/>
  <c r="L87" i="339" s="1"/>
  <c r="L88" i="339" s="1"/>
  <c r="L89" i="339" s="1"/>
  <c r="L90" i="339" s="1"/>
  <c r="L91" i="339" s="1"/>
  <c r="L92" i="339" s="1"/>
  <c r="L93" i="339" s="1"/>
  <c r="L94" i="339" s="1"/>
  <c r="L95" i="339" s="1"/>
  <c r="L96" i="339" s="1"/>
  <c r="L97" i="339" s="1"/>
  <c r="L98" i="339" s="1"/>
  <c r="L99" i="339" s="1"/>
  <c r="L100" i="339" s="1"/>
  <c r="L101" i="339" s="1"/>
  <c r="L102" i="339" s="1"/>
  <c r="L103" i="339" s="1"/>
  <c r="L105" i="339" s="1"/>
  <c r="X56" i="339"/>
  <c r="X56" i="338"/>
  <c r="W57" i="338"/>
  <c r="W58" i="338" s="1"/>
  <c r="W59" i="338" s="1"/>
  <c r="W60" i="338" s="1"/>
  <c r="W61" i="338" s="1"/>
  <c r="W62" i="338" s="1"/>
  <c r="W63" i="338" s="1"/>
  <c r="W64" i="338" s="1"/>
  <c r="W65" i="338" s="1"/>
  <c r="W66" i="338" s="1"/>
  <c r="W67" i="338" s="1"/>
  <c r="W68" i="338" s="1"/>
  <c r="W69" i="338" s="1"/>
  <c r="W70" i="338" s="1"/>
  <c r="W71" i="338" s="1"/>
  <c r="W72" i="338" s="1"/>
  <c r="W73" i="338" s="1"/>
  <c r="W74" i="338" s="1"/>
  <c r="W75" i="338" s="1"/>
  <c r="W76" i="338" s="1"/>
  <c r="W77" i="338" s="1"/>
  <c r="W78" i="338" s="1"/>
  <c r="W79" i="338" s="1"/>
  <c r="W80" i="338" s="1"/>
  <c r="W81" i="338" s="1"/>
  <c r="W82" i="338" s="1"/>
  <c r="W83" i="338" s="1"/>
  <c r="W84" i="338" s="1"/>
  <c r="W85" i="338" s="1"/>
  <c r="W86" i="338" s="1"/>
  <c r="W87" i="338" s="1"/>
  <c r="W88" i="338" s="1"/>
  <c r="W89" i="338" s="1"/>
  <c r="W90" i="338" s="1"/>
  <c r="W91" i="338" s="1"/>
  <c r="W92" i="338" s="1"/>
  <c r="W93" i="338" s="1"/>
  <c r="W94" i="338" s="1"/>
  <c r="W95" i="338" s="1"/>
  <c r="W96" i="338" s="1"/>
  <c r="W97" i="338" s="1"/>
  <c r="W98" i="338" s="1"/>
  <c r="W99" i="338" s="1"/>
  <c r="W100" i="338" s="1"/>
  <c r="W101" i="338" s="1"/>
  <c r="W102" i="338" s="1"/>
  <c r="W103" i="338" s="1"/>
  <c r="W105" i="338" s="1"/>
  <c r="W55" i="337"/>
  <c r="X54" i="337"/>
  <c r="P105" i="336"/>
  <c r="R52" i="336"/>
  <c r="R54" i="336"/>
  <c r="R50" i="336"/>
  <c r="R51" i="336"/>
  <c r="T55" i="336"/>
  <c r="W50" i="335"/>
  <c r="P50" i="335" s="1"/>
  <c r="X49" i="335"/>
  <c r="X46" i="334"/>
  <c r="W47" i="334"/>
  <c r="W56" i="337" l="1"/>
  <c r="X55" i="337"/>
  <c r="R105" i="336"/>
  <c r="T105" i="336"/>
  <c r="AB4" i="336" s="1"/>
  <c r="V55" i="336"/>
  <c r="AB95" i="336"/>
  <c r="V53" i="336"/>
  <c r="AB98" i="336"/>
  <c r="V51" i="336"/>
  <c r="W51" i="336" s="1"/>
  <c r="W52" i="336" s="1"/>
  <c r="AB100" i="336"/>
  <c r="S105" i="336"/>
  <c r="AC4" i="336" s="1"/>
  <c r="R55" i="335"/>
  <c r="T55" i="335" s="1"/>
  <c r="R50" i="335"/>
  <c r="R54" i="335"/>
  <c r="R51" i="335"/>
  <c r="S51" i="335" s="1"/>
  <c r="R53" i="335"/>
  <c r="S53" i="335" s="1"/>
  <c r="R52" i="335"/>
  <c r="P105" i="335"/>
  <c r="X50" i="335"/>
  <c r="X47" i="334"/>
  <c r="W48" i="334"/>
  <c r="W49" i="334" s="1"/>
  <c r="W57" i="337" l="1"/>
  <c r="W58" i="337" s="1"/>
  <c r="W59" i="337" s="1"/>
  <c r="W60" i="337" s="1"/>
  <c r="W61" i="337" s="1"/>
  <c r="W62" i="337" s="1"/>
  <c r="W63" i="337" s="1"/>
  <c r="W64" i="337" s="1"/>
  <c r="W65" i="337" s="1"/>
  <c r="W66" i="337" s="1"/>
  <c r="W67" i="337" s="1"/>
  <c r="W68" i="337" s="1"/>
  <c r="W69" i="337" s="1"/>
  <c r="W70" i="337" s="1"/>
  <c r="W71" i="337" s="1"/>
  <c r="W72" i="337" s="1"/>
  <c r="W73" i="337" s="1"/>
  <c r="W74" i="337" s="1"/>
  <c r="W75" i="337" s="1"/>
  <c r="W76" i="337" s="1"/>
  <c r="W77" i="337" s="1"/>
  <c r="W78" i="337" s="1"/>
  <c r="W79" i="337" s="1"/>
  <c r="W80" i="337" s="1"/>
  <c r="W81" i="337" s="1"/>
  <c r="W82" i="337" s="1"/>
  <c r="W83" i="337" s="1"/>
  <c r="W84" i="337" s="1"/>
  <c r="W85" i="337" s="1"/>
  <c r="W86" i="337" s="1"/>
  <c r="W87" i="337" s="1"/>
  <c r="W88" i="337" s="1"/>
  <c r="W89" i="337" s="1"/>
  <c r="W90" i="337" s="1"/>
  <c r="W91" i="337" s="1"/>
  <c r="W92" i="337" s="1"/>
  <c r="W93" i="337" s="1"/>
  <c r="W94" i="337" s="1"/>
  <c r="W95" i="337" s="1"/>
  <c r="W96" i="337" s="1"/>
  <c r="W97" i="337" s="1"/>
  <c r="W98" i="337" s="1"/>
  <c r="W99" i="337" s="1"/>
  <c r="W100" i="337" s="1"/>
  <c r="W101" i="337" s="1"/>
  <c r="W102" i="337" s="1"/>
  <c r="W103" i="337" s="1"/>
  <c r="W105" i="337" s="1"/>
  <c r="X56" i="337"/>
  <c r="W53" i="336"/>
  <c r="W54" i="336" s="1"/>
  <c r="W55" i="336" s="1"/>
  <c r="W56" i="336" s="1"/>
  <c r="W57" i="336" s="1"/>
  <c r="W58" i="336" s="1"/>
  <c r="W59" i="336" s="1"/>
  <c r="W60" i="336" s="1"/>
  <c r="W61" i="336" s="1"/>
  <c r="W62" i="336" s="1"/>
  <c r="W63" i="336" s="1"/>
  <c r="W64" i="336" s="1"/>
  <c r="W65" i="336" s="1"/>
  <c r="W66" i="336" s="1"/>
  <c r="W67" i="336" s="1"/>
  <c r="W68" i="336" s="1"/>
  <c r="W69" i="336" s="1"/>
  <c r="W70" i="336" s="1"/>
  <c r="W71" i="336" s="1"/>
  <c r="W72" i="336" s="1"/>
  <c r="W73" i="336" s="1"/>
  <c r="W74" i="336" s="1"/>
  <c r="W75" i="336" s="1"/>
  <c r="W76" i="336" s="1"/>
  <c r="W77" i="336" s="1"/>
  <c r="W78" i="336" s="1"/>
  <c r="W79" i="336" s="1"/>
  <c r="W80" i="336" s="1"/>
  <c r="W81" i="336" s="1"/>
  <c r="W82" i="336" s="1"/>
  <c r="W83" i="336" s="1"/>
  <c r="W84" i="336" s="1"/>
  <c r="W85" i="336" s="1"/>
  <c r="W86" i="336" s="1"/>
  <c r="W87" i="336" s="1"/>
  <c r="W88" i="336" s="1"/>
  <c r="W89" i="336" s="1"/>
  <c r="W90" i="336" s="1"/>
  <c r="W91" i="336" s="1"/>
  <c r="W92" i="336" s="1"/>
  <c r="W93" i="336" s="1"/>
  <c r="W94" i="336" s="1"/>
  <c r="W95" i="336" s="1"/>
  <c r="W96" i="336" s="1"/>
  <c r="W97" i="336" s="1"/>
  <c r="W98" i="336" s="1"/>
  <c r="W99" i="336" s="1"/>
  <c r="W100" i="336" s="1"/>
  <c r="W101" i="336" s="1"/>
  <c r="W102" i="336" s="1"/>
  <c r="W103" i="336" s="1"/>
  <c r="Z59" i="336"/>
  <c r="AC5" i="336"/>
  <c r="V105" i="336"/>
  <c r="AB5" i="336"/>
  <c r="AE4" i="336"/>
  <c r="AF4" i="336" s="1"/>
  <c r="AF5" i="336" s="1"/>
  <c r="Z58" i="336"/>
  <c r="AG4" i="336"/>
  <c r="AG5" i="336" s="1"/>
  <c r="R105" i="335"/>
  <c r="V55" i="335"/>
  <c r="AB95" i="335"/>
  <c r="T105" i="335"/>
  <c r="AB4" i="335" s="1"/>
  <c r="V51" i="335"/>
  <c r="AB100" i="335"/>
  <c r="S105" i="335"/>
  <c r="AC4" i="335" s="1"/>
  <c r="V53" i="335"/>
  <c r="AB98" i="335"/>
  <c r="X49" i="334"/>
  <c r="W50" i="334"/>
  <c r="X53" i="336" l="1"/>
  <c r="AB78" i="336"/>
  <c r="Z61" i="336"/>
  <c r="Z62" i="336"/>
  <c r="AD58" i="336"/>
  <c r="AE5" i="336"/>
  <c r="AD59" i="336"/>
  <c r="AE79" i="336" s="1"/>
  <c r="AB79" i="336"/>
  <c r="AD79" i="336" s="1"/>
  <c r="AK76" i="336" s="1"/>
  <c r="AL76" i="336" s="1"/>
  <c r="Z58" i="335"/>
  <c r="AB5" i="335"/>
  <c r="AE4" i="335"/>
  <c r="AF4" i="335" s="1"/>
  <c r="AF5" i="335" s="1"/>
  <c r="AG4" i="335"/>
  <c r="AG5" i="335" s="1"/>
  <c r="AC5" i="335"/>
  <c r="Z59" i="335"/>
  <c r="V105" i="335"/>
  <c r="W51" i="335"/>
  <c r="W52" i="335" s="1"/>
  <c r="W53" i="335" s="1"/>
  <c r="W51" i="334"/>
  <c r="W52" i="334" s="1"/>
  <c r="W53" i="334" s="1"/>
  <c r="X50" i="334"/>
  <c r="AF79" i="336" l="1"/>
  <c r="AB81" i="336"/>
  <c r="AD78" i="336"/>
  <c r="AD61" i="336"/>
  <c r="AE78" i="336"/>
  <c r="AN75" i="336"/>
  <c r="AN76" i="336" s="1"/>
  <c r="AD62" i="336"/>
  <c r="Z70" i="336"/>
  <c r="AB17" i="336"/>
  <c r="X54" i="336"/>
  <c r="AE5" i="335"/>
  <c r="W54" i="335"/>
  <c r="X53" i="335"/>
  <c r="AB79" i="335"/>
  <c r="AD79" i="335" s="1"/>
  <c r="AK76" i="335" s="1"/>
  <c r="AL76" i="335" s="1"/>
  <c r="AD59" i="335"/>
  <c r="AE79" i="335" s="1"/>
  <c r="AD58" i="335"/>
  <c r="AB78" i="335"/>
  <c r="Z62" i="335"/>
  <c r="Z61" i="335"/>
  <c r="W54" i="334"/>
  <c r="X53" i="334"/>
  <c r="X55" i="336" l="1"/>
  <c r="AD81" i="336"/>
  <c r="AK75" i="336"/>
  <c r="AF78" i="336"/>
  <c r="AF81" i="336" s="1"/>
  <c r="AE81" i="336"/>
  <c r="AF79" i="335"/>
  <c r="Z70" i="335"/>
  <c r="AB17" i="335"/>
  <c r="AB81" i="335"/>
  <c r="AD78" i="335"/>
  <c r="AE78" i="335"/>
  <c r="AN75" i="335"/>
  <c r="AN76" i="335" s="1"/>
  <c r="AD62" i="335"/>
  <c r="AD61" i="335"/>
  <c r="W55" i="335"/>
  <c r="X54" i="335"/>
  <c r="W55" i="334"/>
  <c r="X54" i="334"/>
  <c r="AK78" i="336" l="1"/>
  <c r="AL79" i="336" s="1"/>
  <c r="AL75" i="336"/>
  <c r="AL78" i="336" s="1"/>
  <c r="W105" i="336"/>
  <c r="X56" i="336"/>
  <c r="AK75" i="335"/>
  <c r="AD81" i="335"/>
  <c r="W56" i="335"/>
  <c r="X55" i="335"/>
  <c r="AE81" i="335"/>
  <c r="AF78" i="335"/>
  <c r="AF81" i="335" s="1"/>
  <c r="X55" i="334"/>
  <c r="W56" i="334"/>
  <c r="W57" i="335" l="1"/>
  <c r="W58" i="335" s="1"/>
  <c r="W59" i="335" s="1"/>
  <c r="W60" i="335" s="1"/>
  <c r="W61" i="335" s="1"/>
  <c r="W62" i="335" s="1"/>
  <c r="W63" i="335" s="1"/>
  <c r="W64" i="335" s="1"/>
  <c r="W65" i="335" s="1"/>
  <c r="W66" i="335" s="1"/>
  <c r="W67" i="335" s="1"/>
  <c r="W68" i="335" s="1"/>
  <c r="W69" i="335" s="1"/>
  <c r="W70" i="335" s="1"/>
  <c r="W71" i="335" s="1"/>
  <c r="W72" i="335" s="1"/>
  <c r="W73" i="335" s="1"/>
  <c r="W74" i="335" s="1"/>
  <c r="W75" i="335" s="1"/>
  <c r="W76" i="335" s="1"/>
  <c r="W77" i="335" s="1"/>
  <c r="W78" i="335" s="1"/>
  <c r="W79" i="335" s="1"/>
  <c r="W80" i="335" s="1"/>
  <c r="W81" i="335" s="1"/>
  <c r="W82" i="335" s="1"/>
  <c r="W83" i="335" s="1"/>
  <c r="W84" i="335" s="1"/>
  <c r="W85" i="335" s="1"/>
  <c r="W86" i="335" s="1"/>
  <c r="W87" i="335" s="1"/>
  <c r="W88" i="335" s="1"/>
  <c r="W89" i="335" s="1"/>
  <c r="W90" i="335" s="1"/>
  <c r="W91" i="335" s="1"/>
  <c r="W92" i="335" s="1"/>
  <c r="W93" i="335" s="1"/>
  <c r="W94" i="335" s="1"/>
  <c r="W95" i="335" s="1"/>
  <c r="W96" i="335" s="1"/>
  <c r="W97" i="335" s="1"/>
  <c r="W98" i="335" s="1"/>
  <c r="W99" i="335" s="1"/>
  <c r="W100" i="335" s="1"/>
  <c r="W101" i="335" s="1"/>
  <c r="W102" i="335" s="1"/>
  <c r="W103" i="335" s="1"/>
  <c r="W105" i="335" s="1"/>
  <c r="X56" i="335"/>
  <c r="AL75" i="335"/>
  <c r="AL78" i="335" s="1"/>
  <c r="AK78" i="335"/>
  <c r="AL79" i="335" s="1"/>
  <c r="W57" i="334"/>
  <c r="W58" i="334" s="1"/>
  <c r="W59" i="334" s="1"/>
  <c r="W60" i="334" s="1"/>
  <c r="W61" i="334" s="1"/>
  <c r="W62" i="334" s="1"/>
  <c r="W63" i="334" s="1"/>
  <c r="W64" i="334" s="1"/>
  <c r="W65" i="334" s="1"/>
  <c r="W66" i="334" s="1"/>
  <c r="W67" i="334" s="1"/>
  <c r="W68" i="334" s="1"/>
  <c r="W69" i="334" s="1"/>
  <c r="W70" i="334" s="1"/>
  <c r="W71" i="334" s="1"/>
  <c r="W72" i="334" s="1"/>
  <c r="W73" i="334" s="1"/>
  <c r="W74" i="334" s="1"/>
  <c r="W75" i="334" s="1"/>
  <c r="W76" i="334" s="1"/>
  <c r="W77" i="334" s="1"/>
  <c r="W78" i="334" s="1"/>
  <c r="W79" i="334" s="1"/>
  <c r="W80" i="334" s="1"/>
  <c r="W81" i="334" s="1"/>
  <c r="W82" i="334" s="1"/>
  <c r="W83" i="334" s="1"/>
  <c r="W84" i="334" s="1"/>
  <c r="W85" i="334" s="1"/>
  <c r="W86" i="334" s="1"/>
  <c r="W87" i="334" s="1"/>
  <c r="W88" i="334" s="1"/>
  <c r="W89" i="334" s="1"/>
  <c r="W90" i="334" s="1"/>
  <c r="W91" i="334" s="1"/>
  <c r="W92" i="334" s="1"/>
  <c r="W93" i="334" s="1"/>
  <c r="W94" i="334" s="1"/>
  <c r="W95" i="334" s="1"/>
  <c r="W96" i="334" s="1"/>
  <c r="W97" i="334" s="1"/>
  <c r="W98" i="334" s="1"/>
  <c r="W99" i="334" s="1"/>
  <c r="W100" i="334" s="1"/>
  <c r="W101" i="334" s="1"/>
  <c r="W102" i="334" s="1"/>
  <c r="W103" i="334" s="1"/>
  <c r="W105" i="334" s="1"/>
  <c r="X56" i="334"/>
  <c r="AC115" i="333" l="1"/>
  <c r="R105" i="333"/>
  <c r="P105" i="333"/>
  <c r="M105" i="333"/>
  <c r="J105" i="333"/>
  <c r="U103" i="333"/>
  <c r="T103" i="333"/>
  <c r="S103" i="333"/>
  <c r="Q103" i="333"/>
  <c r="K103" i="333"/>
  <c r="AA102" i="333"/>
  <c r="U102" i="333"/>
  <c r="T102" i="333"/>
  <c r="S102" i="333"/>
  <c r="Q102" i="333"/>
  <c r="K102" i="333"/>
  <c r="U101" i="333"/>
  <c r="T101" i="333"/>
  <c r="S101" i="333"/>
  <c r="Q101" i="333"/>
  <c r="K101" i="333"/>
  <c r="AA100" i="333"/>
  <c r="U100" i="333"/>
  <c r="T100" i="333"/>
  <c r="S100" i="333"/>
  <c r="Q100" i="333"/>
  <c r="K100" i="333"/>
  <c r="AA99" i="333"/>
  <c r="U99" i="333"/>
  <c r="T99" i="333"/>
  <c r="S99" i="333"/>
  <c r="Q99" i="333"/>
  <c r="K99" i="333"/>
  <c r="AA98" i="333"/>
  <c r="U98" i="333"/>
  <c r="T98" i="333"/>
  <c r="S98" i="333"/>
  <c r="Q98" i="333"/>
  <c r="K98" i="333"/>
  <c r="U97" i="333"/>
  <c r="T97" i="333"/>
  <c r="S97" i="333"/>
  <c r="Q97" i="333"/>
  <c r="K97" i="333"/>
  <c r="U96" i="333"/>
  <c r="T96" i="333"/>
  <c r="S96" i="333"/>
  <c r="Q96" i="333"/>
  <c r="K96" i="333"/>
  <c r="AA95" i="333"/>
  <c r="U95" i="333"/>
  <c r="T95" i="333"/>
  <c r="S95" i="333"/>
  <c r="Q95" i="333"/>
  <c r="K95" i="333"/>
  <c r="AA94" i="333"/>
  <c r="U94" i="333"/>
  <c r="T94" i="333"/>
  <c r="S94" i="333"/>
  <c r="Q94" i="333"/>
  <c r="K94" i="333"/>
  <c r="AA93" i="333"/>
  <c r="U93" i="333"/>
  <c r="T93" i="333"/>
  <c r="S93" i="333"/>
  <c r="Q93" i="333"/>
  <c r="K93" i="333"/>
  <c r="U92" i="333"/>
  <c r="T92" i="333"/>
  <c r="S92" i="333"/>
  <c r="Q92" i="333"/>
  <c r="K92" i="333"/>
  <c r="U91" i="333"/>
  <c r="T91" i="333"/>
  <c r="S91" i="333"/>
  <c r="Q91" i="333"/>
  <c r="K91" i="333"/>
  <c r="U90" i="333"/>
  <c r="T90" i="333"/>
  <c r="S90" i="333"/>
  <c r="Q90" i="333"/>
  <c r="K90" i="333"/>
  <c r="U89" i="333"/>
  <c r="T89" i="333"/>
  <c r="S89" i="333"/>
  <c r="Q89" i="333"/>
  <c r="K89" i="333"/>
  <c r="U88" i="333"/>
  <c r="T88" i="333"/>
  <c r="S88" i="333"/>
  <c r="Q88" i="333"/>
  <c r="K88" i="333"/>
  <c r="AE87" i="333"/>
  <c r="AF86" i="333" s="1"/>
  <c r="AG86" i="333" s="1"/>
  <c r="AH86" i="333" s="1"/>
  <c r="AH87" i="333" s="1"/>
  <c r="AH88" i="333" s="1"/>
  <c r="AA87" i="333"/>
  <c r="Y87" i="333"/>
  <c r="U87" i="333"/>
  <c r="T87" i="333"/>
  <c r="S87" i="333"/>
  <c r="Q87" i="333"/>
  <c r="K87" i="333"/>
  <c r="U86" i="333"/>
  <c r="T86" i="333"/>
  <c r="S86" i="333"/>
  <c r="Q86" i="333"/>
  <c r="K86" i="333"/>
  <c r="U85" i="333"/>
  <c r="T85" i="333"/>
  <c r="S85" i="333"/>
  <c r="Q85" i="333"/>
  <c r="K85" i="333"/>
  <c r="U84" i="333"/>
  <c r="T84" i="333"/>
  <c r="S84" i="333"/>
  <c r="Q84" i="333"/>
  <c r="K84" i="333"/>
  <c r="U83" i="333"/>
  <c r="T83" i="333"/>
  <c r="S83" i="333"/>
  <c r="Q83" i="333"/>
  <c r="K83" i="333"/>
  <c r="U82" i="333"/>
  <c r="T82" i="333"/>
  <c r="S82" i="333"/>
  <c r="Q82" i="333"/>
  <c r="K82" i="333"/>
  <c r="Z81" i="333"/>
  <c r="U81" i="333"/>
  <c r="T81" i="333"/>
  <c r="S81" i="333"/>
  <c r="Q81" i="333"/>
  <c r="K81" i="333"/>
  <c r="AI80" i="333"/>
  <c r="U80" i="333"/>
  <c r="T80" i="333"/>
  <c r="S80" i="333"/>
  <c r="Q80" i="333"/>
  <c r="K80" i="333"/>
  <c r="U79" i="333"/>
  <c r="T79" i="333"/>
  <c r="S79" i="333"/>
  <c r="Q79" i="333"/>
  <c r="K79" i="333"/>
  <c r="AI78" i="333"/>
  <c r="U78" i="333"/>
  <c r="T78" i="333"/>
  <c r="S78" i="333"/>
  <c r="Q78" i="333"/>
  <c r="K78" i="333"/>
  <c r="U77" i="333"/>
  <c r="T77" i="333"/>
  <c r="S77" i="333"/>
  <c r="Q77" i="333"/>
  <c r="K77" i="333"/>
  <c r="U76" i="333"/>
  <c r="T76" i="333"/>
  <c r="S76" i="333"/>
  <c r="Q76" i="333"/>
  <c r="K76" i="333"/>
  <c r="U75" i="333"/>
  <c r="T75" i="333"/>
  <c r="S75" i="333"/>
  <c r="Q75" i="333"/>
  <c r="K75" i="333"/>
  <c r="U74" i="333"/>
  <c r="T74" i="333"/>
  <c r="S74" i="333"/>
  <c r="Q74" i="333"/>
  <c r="K74" i="333"/>
  <c r="AP73" i="333"/>
  <c r="AQ73" i="333" s="1"/>
  <c r="AD73" i="333"/>
  <c r="AM72" i="333" s="1"/>
  <c r="AN73" i="333" s="1"/>
  <c r="Z73" i="333"/>
  <c r="U73" i="333"/>
  <c r="T73" i="333"/>
  <c r="S73" i="333"/>
  <c r="Q73" i="333"/>
  <c r="K73" i="333"/>
  <c r="Z72" i="333"/>
  <c r="U72" i="333"/>
  <c r="T72" i="333"/>
  <c r="S72" i="333"/>
  <c r="Q72" i="333"/>
  <c r="K72" i="333"/>
  <c r="U71" i="333"/>
  <c r="T71" i="333"/>
  <c r="S71" i="333"/>
  <c r="Q71" i="333"/>
  <c r="K71" i="333"/>
  <c r="U70" i="333"/>
  <c r="T70" i="333"/>
  <c r="S70" i="333"/>
  <c r="Q70" i="333"/>
  <c r="K70" i="333"/>
  <c r="U69" i="333"/>
  <c r="T69" i="333"/>
  <c r="S69" i="333"/>
  <c r="Q69" i="333"/>
  <c r="K69" i="333"/>
  <c r="U68" i="333"/>
  <c r="T68" i="333"/>
  <c r="S68" i="333"/>
  <c r="Q68" i="333"/>
  <c r="K68" i="333"/>
  <c r="AL67" i="333"/>
  <c r="AA67" i="333"/>
  <c r="U67" i="333"/>
  <c r="T67" i="333"/>
  <c r="S67" i="333"/>
  <c r="Q67" i="333"/>
  <c r="K67" i="333"/>
  <c r="AF66" i="333"/>
  <c r="U66" i="333"/>
  <c r="T66" i="333"/>
  <c r="S66" i="333"/>
  <c r="Q66" i="333"/>
  <c r="K66" i="333"/>
  <c r="AF65" i="333"/>
  <c r="U65" i="333"/>
  <c r="T65" i="333"/>
  <c r="S65" i="333"/>
  <c r="Q65" i="333"/>
  <c r="K65" i="333"/>
  <c r="AL64" i="333"/>
  <c r="U64" i="333"/>
  <c r="T64" i="333"/>
  <c r="S64" i="333"/>
  <c r="Q64" i="333"/>
  <c r="K64" i="333"/>
  <c r="U63" i="333"/>
  <c r="T63" i="333"/>
  <c r="S63" i="333"/>
  <c r="Q63" i="333"/>
  <c r="K63" i="333"/>
  <c r="AC62" i="333"/>
  <c r="U62" i="333"/>
  <c r="T62" i="333"/>
  <c r="S62" i="333"/>
  <c r="Q62" i="333"/>
  <c r="K62" i="333"/>
  <c r="U61" i="333"/>
  <c r="T61" i="333"/>
  <c r="S61" i="333"/>
  <c r="Q61" i="333"/>
  <c r="K61" i="333"/>
  <c r="AL60" i="333"/>
  <c r="U60" i="333"/>
  <c r="T60" i="333"/>
  <c r="S60" i="333"/>
  <c r="Q60" i="333"/>
  <c r="K60" i="333"/>
  <c r="AB59" i="333"/>
  <c r="AA59" i="333"/>
  <c r="AC79" i="333" s="1"/>
  <c r="U59" i="333"/>
  <c r="T59" i="333"/>
  <c r="S59" i="333"/>
  <c r="Q59" i="333"/>
  <c r="K59" i="333"/>
  <c r="AB58" i="333"/>
  <c r="AA58" i="333"/>
  <c r="U58" i="333"/>
  <c r="T58" i="333"/>
  <c r="S58" i="333"/>
  <c r="Q58" i="333"/>
  <c r="K58" i="333"/>
  <c r="U57" i="333"/>
  <c r="T57" i="333"/>
  <c r="S57" i="333"/>
  <c r="Q57" i="333"/>
  <c r="K57" i="333"/>
  <c r="U56" i="333"/>
  <c r="T56" i="333"/>
  <c r="S56" i="333"/>
  <c r="Q56" i="333"/>
  <c r="K56" i="333"/>
  <c r="AL55" i="333"/>
  <c r="Y55" i="333"/>
  <c r="U55" i="333"/>
  <c r="S55" i="333"/>
  <c r="Q55" i="333"/>
  <c r="T55" i="333" s="1"/>
  <c r="K55" i="333"/>
  <c r="U54" i="333"/>
  <c r="T54" i="333"/>
  <c r="S54" i="333"/>
  <c r="Q54" i="333"/>
  <c r="K54" i="333"/>
  <c r="AM53" i="333"/>
  <c r="AM55" i="333" s="1"/>
  <c r="Y53" i="333"/>
  <c r="U53" i="333"/>
  <c r="T53" i="333"/>
  <c r="Q53" i="333"/>
  <c r="S53" i="333" s="1"/>
  <c r="K53" i="333"/>
  <c r="U52" i="333"/>
  <c r="T52" i="333"/>
  <c r="S52" i="333"/>
  <c r="Q52" i="333"/>
  <c r="K52" i="333"/>
  <c r="Y51" i="333"/>
  <c r="U51" i="333"/>
  <c r="T51" i="333"/>
  <c r="S51" i="333"/>
  <c r="K51" i="333"/>
  <c r="AB50" i="333"/>
  <c r="U50" i="333"/>
  <c r="T50" i="333"/>
  <c r="S50" i="333"/>
  <c r="Q50" i="333"/>
  <c r="K50" i="333"/>
  <c r="Y49" i="333"/>
  <c r="Z49" i="333" s="1"/>
  <c r="U49" i="333"/>
  <c r="T49" i="333"/>
  <c r="S49" i="333"/>
  <c r="Q49" i="333"/>
  <c r="K49" i="333"/>
  <c r="Y48" i="333"/>
  <c r="Z48" i="333" s="1"/>
  <c r="U48" i="333"/>
  <c r="T48" i="333"/>
  <c r="S48" i="333"/>
  <c r="Q48" i="333"/>
  <c r="K48" i="333"/>
  <c r="U47" i="333"/>
  <c r="T47" i="333"/>
  <c r="S47" i="333"/>
  <c r="Q47" i="333"/>
  <c r="K47" i="333"/>
  <c r="AF46" i="333"/>
  <c r="U46" i="333"/>
  <c r="T46" i="333"/>
  <c r="Q46" i="333"/>
  <c r="S46" i="333" s="1"/>
  <c r="K46" i="333"/>
  <c r="AB45" i="333"/>
  <c r="AA45" i="333"/>
  <c r="U45" i="333"/>
  <c r="T45" i="333"/>
  <c r="S45" i="333"/>
  <c r="Q45" i="333"/>
  <c r="K45" i="333"/>
  <c r="AE44" i="333"/>
  <c r="AE46" i="333" s="1"/>
  <c r="AB44" i="333"/>
  <c r="AA44" i="333"/>
  <c r="U44" i="333"/>
  <c r="T44" i="333"/>
  <c r="S44" i="333"/>
  <c r="Q44" i="333"/>
  <c r="K44" i="333"/>
  <c r="AB43" i="333"/>
  <c r="AA43" i="333"/>
  <c r="U43" i="333"/>
  <c r="T43" i="333"/>
  <c r="S43" i="333"/>
  <c r="Q43" i="333"/>
  <c r="K43" i="333"/>
  <c r="U42" i="333"/>
  <c r="T42" i="333"/>
  <c r="S42" i="333"/>
  <c r="Q42" i="333"/>
  <c r="K42" i="333"/>
  <c r="U41" i="333"/>
  <c r="T41" i="333"/>
  <c r="S41" i="333"/>
  <c r="Q41" i="333"/>
  <c r="K41" i="333"/>
  <c r="U40" i="333"/>
  <c r="T40" i="333"/>
  <c r="S40" i="333"/>
  <c r="K40" i="333"/>
  <c r="AH39" i="333"/>
  <c r="U39" i="333"/>
  <c r="T39" i="333"/>
  <c r="S39" i="333"/>
  <c r="Q39" i="333"/>
  <c r="K39" i="333"/>
  <c r="U38" i="333"/>
  <c r="T38" i="333"/>
  <c r="S38" i="333"/>
  <c r="Q38" i="333"/>
  <c r="K38" i="333"/>
  <c r="U37" i="333"/>
  <c r="T37" i="333"/>
  <c r="S37" i="333"/>
  <c r="Q37" i="333"/>
  <c r="K37" i="333"/>
  <c r="Z36" i="333"/>
  <c r="AA36" i="333" s="1"/>
  <c r="U36" i="333"/>
  <c r="T36" i="333"/>
  <c r="S36" i="333"/>
  <c r="Q36" i="333"/>
  <c r="K36" i="333"/>
  <c r="Z35" i="333"/>
  <c r="U35" i="333"/>
  <c r="T35" i="333"/>
  <c r="S35" i="333"/>
  <c r="Q35" i="333"/>
  <c r="K35" i="333"/>
  <c r="AI34" i="333"/>
  <c r="AH34" i="333"/>
  <c r="AC34" i="333"/>
  <c r="AC36" i="333" s="1"/>
  <c r="U34" i="333"/>
  <c r="T34" i="333"/>
  <c r="S34" i="333"/>
  <c r="Q34" i="333"/>
  <c r="K34" i="333"/>
  <c r="U33" i="333"/>
  <c r="T33" i="333"/>
  <c r="S33" i="333"/>
  <c r="Q33" i="333"/>
  <c r="K33" i="333"/>
  <c r="U32" i="333"/>
  <c r="T32" i="333"/>
  <c r="S32" i="333"/>
  <c r="Q32" i="333"/>
  <c r="K32" i="333"/>
  <c r="U31" i="333"/>
  <c r="T31" i="333"/>
  <c r="S31" i="333"/>
  <c r="Q31" i="333"/>
  <c r="K31" i="333"/>
  <c r="Z30" i="333"/>
  <c r="U30" i="333"/>
  <c r="T30" i="333"/>
  <c r="S30" i="333"/>
  <c r="Q30" i="333"/>
  <c r="K30" i="333"/>
  <c r="U29" i="333"/>
  <c r="T29" i="333"/>
  <c r="S29" i="333"/>
  <c r="Q29" i="333"/>
  <c r="K29" i="333"/>
  <c r="AA28" i="333"/>
  <c r="U28" i="333"/>
  <c r="T28" i="333"/>
  <c r="S28" i="333"/>
  <c r="Q28" i="333"/>
  <c r="K28" i="333"/>
  <c r="AC27" i="333"/>
  <c r="AA27" i="333"/>
  <c r="U27" i="333"/>
  <c r="T27" i="333"/>
  <c r="S27" i="333"/>
  <c r="Q27" i="333"/>
  <c r="K27" i="333"/>
  <c r="AC26" i="333"/>
  <c r="AE26" i="333" s="1"/>
  <c r="T26" i="333"/>
  <c r="S26" i="333"/>
  <c r="Q26" i="333"/>
  <c r="U26" i="333" s="1"/>
  <c r="K26" i="333"/>
  <c r="AE25" i="333"/>
  <c r="U25" i="333"/>
  <c r="T25" i="333"/>
  <c r="Q25" i="333"/>
  <c r="S25" i="333" s="1"/>
  <c r="K25" i="333"/>
  <c r="U24" i="333"/>
  <c r="T24" i="333"/>
  <c r="S24" i="333"/>
  <c r="Q24" i="333"/>
  <c r="K24" i="333"/>
  <c r="U23" i="333"/>
  <c r="T23" i="333"/>
  <c r="S23" i="333"/>
  <c r="Q23" i="333"/>
  <c r="K23" i="333"/>
  <c r="U22" i="333"/>
  <c r="T22" i="333"/>
  <c r="Q22" i="333"/>
  <c r="S22" i="333" s="1"/>
  <c r="K22" i="333"/>
  <c r="U21" i="333"/>
  <c r="T21" i="333"/>
  <c r="S21" i="333"/>
  <c r="Q21" i="333"/>
  <c r="K21" i="333"/>
  <c r="U20" i="333"/>
  <c r="T20" i="333"/>
  <c r="Q20" i="333"/>
  <c r="S20" i="333" s="1"/>
  <c r="K20" i="333"/>
  <c r="U19" i="333"/>
  <c r="T19" i="333"/>
  <c r="S19" i="333"/>
  <c r="Q19" i="333"/>
  <c r="K19" i="333"/>
  <c r="U18" i="333"/>
  <c r="S18" i="333"/>
  <c r="Q18" i="333"/>
  <c r="T18" i="333" s="1"/>
  <c r="AB94" i="333" s="1"/>
  <c r="K18" i="333"/>
  <c r="U17" i="333"/>
  <c r="Q17" i="333"/>
  <c r="S17" i="333" s="1"/>
  <c r="K17" i="333"/>
  <c r="U16" i="333"/>
  <c r="T16" i="333"/>
  <c r="S16" i="333"/>
  <c r="K16" i="333"/>
  <c r="Z15" i="333"/>
  <c r="U15" i="333"/>
  <c r="T15" i="333"/>
  <c r="Q15" i="333"/>
  <c r="S15" i="333" s="1"/>
  <c r="K15" i="333"/>
  <c r="U14" i="333"/>
  <c r="T14" i="333"/>
  <c r="Q14" i="333"/>
  <c r="S14" i="333" s="1"/>
  <c r="K14" i="333"/>
  <c r="U13" i="333"/>
  <c r="S13" i="333"/>
  <c r="Q13" i="333"/>
  <c r="T13" i="333" s="1"/>
  <c r="K13" i="333"/>
  <c r="AC12" i="333"/>
  <c r="AB12" i="333"/>
  <c r="AA12" i="333"/>
  <c r="U12" i="333"/>
  <c r="T12" i="333"/>
  <c r="Q12" i="333"/>
  <c r="S12" i="333" s="1"/>
  <c r="K12" i="333"/>
  <c r="AH11" i="333"/>
  <c r="AE11" i="333"/>
  <c r="AF11" i="333" s="1"/>
  <c r="AA11" i="333"/>
  <c r="U11" i="333"/>
  <c r="T11" i="333"/>
  <c r="Q11" i="333"/>
  <c r="S11" i="333" s="1"/>
  <c r="K11" i="333"/>
  <c r="AT17" i="333" s="1"/>
  <c r="AU17" i="333" s="1"/>
  <c r="AH10" i="333"/>
  <c r="AA60" i="333" s="1"/>
  <c r="AE10" i="333"/>
  <c r="AB10" i="333"/>
  <c r="AC61" i="333" s="1"/>
  <c r="U10" i="333"/>
  <c r="Q10" i="333"/>
  <c r="K10" i="333"/>
  <c r="Z9" i="333"/>
  <c r="U9" i="333"/>
  <c r="Q9" i="333"/>
  <c r="T9" i="333" s="1"/>
  <c r="K9" i="333"/>
  <c r="U8" i="333"/>
  <c r="T8" i="333"/>
  <c r="Q8" i="333"/>
  <c r="S8" i="333" s="1"/>
  <c r="K8" i="333"/>
  <c r="Z7" i="333"/>
  <c r="U7" i="333"/>
  <c r="Q7" i="333"/>
  <c r="S7" i="333" s="1"/>
  <c r="I7" i="333"/>
  <c r="H7" i="333"/>
  <c r="H105" i="333" s="1"/>
  <c r="Z6" i="333"/>
  <c r="U6" i="333"/>
  <c r="T6" i="333"/>
  <c r="Q6" i="333"/>
  <c r="S6" i="333" s="1"/>
  <c r="K6" i="333"/>
  <c r="AM5" i="333"/>
  <c r="AM6" i="333" s="1"/>
  <c r="AM8" i="333" s="1"/>
  <c r="AL5" i="333"/>
  <c r="AL6" i="333" s="1"/>
  <c r="AL8" i="333" s="1"/>
  <c r="AK5" i="333"/>
  <c r="AK6" i="333" s="1"/>
  <c r="AK8" i="333" s="1"/>
  <c r="AJ5" i="333"/>
  <c r="AJ6" i="333" s="1"/>
  <c r="AJ8" i="333" s="1"/>
  <c r="U5" i="333"/>
  <c r="S5" i="333"/>
  <c r="Q5" i="333"/>
  <c r="T5" i="333" s="1"/>
  <c r="K5" i="333"/>
  <c r="U4" i="333"/>
  <c r="S4" i="333"/>
  <c r="Q4" i="333"/>
  <c r="T4" i="333" s="1"/>
  <c r="K4" i="333"/>
  <c r="AO3" i="333"/>
  <c r="AE3" i="333"/>
  <c r="U3" i="333"/>
  <c r="S3" i="333"/>
  <c r="Q3" i="333"/>
  <c r="T3" i="333" s="1"/>
  <c r="K3" i="333"/>
  <c r="U2" i="333"/>
  <c r="T2" i="333"/>
  <c r="Q2" i="333"/>
  <c r="S2" i="333" s="1"/>
  <c r="K2" i="333"/>
  <c r="AT4" i="333" l="1"/>
  <c r="AU4" i="333" s="1"/>
  <c r="AT6" i="333"/>
  <c r="AU6" i="333" s="1"/>
  <c r="AT22" i="333"/>
  <c r="AU22" i="333" s="1"/>
  <c r="AC43" i="333"/>
  <c r="AB61" i="333"/>
  <c r="V74" i="333"/>
  <c r="AB102" i="333"/>
  <c r="V71" i="333"/>
  <c r="V78" i="333"/>
  <c r="V85" i="333"/>
  <c r="AT15" i="333"/>
  <c r="AU15" i="333" s="1"/>
  <c r="AT7" i="333"/>
  <c r="AU7" i="333" s="1"/>
  <c r="AT8" i="333"/>
  <c r="AU8" i="333" s="1"/>
  <c r="V63" i="333"/>
  <c r="V44" i="333"/>
  <c r="V53" i="333"/>
  <c r="V61" i="333"/>
  <c r="V102" i="333"/>
  <c r="V45" i="333"/>
  <c r="V15" i="333"/>
  <c r="V93" i="333"/>
  <c r="V99" i="333"/>
  <c r="V100" i="333"/>
  <c r="V69" i="333"/>
  <c r="V98" i="333"/>
  <c r="AT5" i="333"/>
  <c r="AU5" i="333" s="1"/>
  <c r="AT19" i="333"/>
  <c r="AU19" i="333" s="1"/>
  <c r="Z16" i="333"/>
  <c r="AA16" i="333" s="1"/>
  <c r="V16" i="333"/>
  <c r="V33" i="333"/>
  <c r="AD34" i="333"/>
  <c r="AD35" i="333" s="1"/>
  <c r="Z37" i="333"/>
  <c r="V43" i="333"/>
  <c r="V52" i="333"/>
  <c r="V66" i="333"/>
  <c r="AE27" i="333"/>
  <c r="V31" i="333"/>
  <c r="N50" i="333"/>
  <c r="V51" i="333"/>
  <c r="V56" i="333"/>
  <c r="V59" i="333"/>
  <c r="V64" i="333"/>
  <c r="V81" i="333"/>
  <c r="N81" i="333"/>
  <c r="O81" i="333" s="1"/>
  <c r="V86" i="333"/>
  <c r="V23" i="333"/>
  <c r="AD36" i="333"/>
  <c r="AD37" i="333" s="1"/>
  <c r="V97" i="333"/>
  <c r="V12" i="333"/>
  <c r="AA15" i="333"/>
  <c r="V24" i="333"/>
  <c r="V34" i="333"/>
  <c r="V35" i="333"/>
  <c r="V39" i="333"/>
  <c r="V76" i="333"/>
  <c r="V80" i="333"/>
  <c r="V87" i="333"/>
  <c r="V90" i="333"/>
  <c r="V92" i="333"/>
  <c r="V101" i="333"/>
  <c r="V30" i="333"/>
  <c r="V48" i="333"/>
  <c r="V50" i="333"/>
  <c r="V54" i="333"/>
  <c r="V82" i="333"/>
  <c r="V84" i="333"/>
  <c r="X84" i="333" s="1"/>
  <c r="V91" i="333"/>
  <c r="V6" i="333"/>
  <c r="AH12" i="333"/>
  <c r="V21" i="333"/>
  <c r="V32" i="333"/>
  <c r="AB36" i="333"/>
  <c r="V37" i="333"/>
  <c r="V40" i="333"/>
  <c r="AC44" i="333"/>
  <c r="V46" i="333"/>
  <c r="V57" i="333"/>
  <c r="AB62" i="333"/>
  <c r="V60" i="333"/>
  <c r="V68" i="333"/>
  <c r="V73" i="333"/>
  <c r="V83" i="333"/>
  <c r="V94" i="333"/>
  <c r="V14" i="333"/>
  <c r="V25" i="333"/>
  <c r="V27" i="333"/>
  <c r="T17" i="333"/>
  <c r="V17" i="333" s="1"/>
  <c r="V19" i="333"/>
  <c r="U105" i="333"/>
  <c r="AD4" i="333" s="1"/>
  <c r="AD28" i="333" s="1"/>
  <c r="V4" i="333"/>
  <c r="V8" i="333"/>
  <c r="V20" i="333"/>
  <c r="V5" i="333"/>
  <c r="V22" i="333"/>
  <c r="AC45" i="333"/>
  <c r="V2" i="333"/>
  <c r="AA68" i="333"/>
  <c r="Z10" i="333"/>
  <c r="AA9" i="333"/>
  <c r="AT12" i="333"/>
  <c r="AU12" i="333" s="1"/>
  <c r="N27" i="333"/>
  <c r="O41" i="333" s="1"/>
  <c r="AF60" i="333"/>
  <c r="AC80" i="333"/>
  <c r="AB47" i="333"/>
  <c r="V11" i="333"/>
  <c r="V18" i="333"/>
  <c r="AB99" i="333"/>
  <c r="AT13" i="333"/>
  <c r="AU13" i="333" s="1"/>
  <c r="AT18" i="333"/>
  <c r="AU18" i="333" s="1"/>
  <c r="V3" i="333"/>
  <c r="AA92" i="333"/>
  <c r="I105" i="333"/>
  <c r="AB42" i="333"/>
  <c r="T7" i="333"/>
  <c r="V7" i="333" s="1"/>
  <c r="K7" i="333"/>
  <c r="T10" i="333"/>
  <c r="S10" i="333"/>
  <c r="AB100" i="333" s="1"/>
  <c r="V13" i="333"/>
  <c r="V26" i="333"/>
  <c r="V28" i="333"/>
  <c r="V29" i="333"/>
  <c r="AC58" i="333"/>
  <c r="N85" i="333"/>
  <c r="O90" i="333" s="1"/>
  <c r="S9" i="333"/>
  <c r="V9" i="333" s="1"/>
  <c r="AB98" i="333"/>
  <c r="AT16" i="333"/>
  <c r="AU16" i="333" s="1"/>
  <c r="AD26" i="333"/>
  <c r="AD27" i="333" s="1"/>
  <c r="V36" i="333"/>
  <c r="V38" i="333"/>
  <c r="V42" i="333"/>
  <c r="AA42" i="333"/>
  <c r="V47" i="333"/>
  <c r="AT11" i="333"/>
  <c r="AU11" i="333" s="1"/>
  <c r="K105" i="333"/>
  <c r="Q105" i="333"/>
  <c r="AT9" i="333"/>
  <c r="AU9" i="333" s="1"/>
  <c r="AT14" i="333"/>
  <c r="AU14" i="333" s="1"/>
  <c r="AA69" i="333"/>
  <c r="AB93" i="333"/>
  <c r="V41" i="333"/>
  <c r="V49" i="333"/>
  <c r="V55" i="333"/>
  <c r="AA61" i="333"/>
  <c r="AA62" i="333"/>
  <c r="AN74" i="333"/>
  <c r="AO73" i="333"/>
  <c r="AC78" i="333"/>
  <c r="AA97" i="333"/>
  <c r="AE34" i="333"/>
  <c r="AC35" i="333"/>
  <c r="V62" i="333"/>
  <c r="V65" i="333"/>
  <c r="V67" i="333"/>
  <c r="V77" i="333"/>
  <c r="V79" i="333"/>
  <c r="V89" i="333"/>
  <c r="N94" i="333"/>
  <c r="V95" i="333"/>
  <c r="V103" i="333"/>
  <c r="N56" i="333"/>
  <c r="O69" i="333" s="1"/>
  <c r="V58" i="333"/>
  <c r="V70" i="333"/>
  <c r="V72" i="333"/>
  <c r="V75" i="333"/>
  <c r="AA81" i="333"/>
  <c r="AA86" i="333" s="1"/>
  <c r="AB86" i="333" s="1"/>
  <c r="AC86" i="333" s="1"/>
  <c r="AD86" i="333" s="1"/>
  <c r="AD87" i="333" s="1"/>
  <c r="AD88" i="333" s="1"/>
  <c r="AI79" i="333"/>
  <c r="V88" i="333"/>
  <c r="V96" i="333"/>
  <c r="AF60" i="332"/>
  <c r="O83" i="333" l="1"/>
  <c r="AC42" i="333"/>
  <c r="AB95" i="333"/>
  <c r="O82" i="333"/>
  <c r="O84" i="333"/>
  <c r="O93" i="333"/>
  <c r="O56" i="333"/>
  <c r="O30" i="333"/>
  <c r="O49" i="333"/>
  <c r="O31" i="333"/>
  <c r="AE36" i="333"/>
  <c r="O35" i="333"/>
  <c r="O54" i="333"/>
  <c r="AC81" i="333"/>
  <c r="O88" i="333"/>
  <c r="O33" i="333"/>
  <c r="T105" i="333"/>
  <c r="AB4" i="333" s="1"/>
  <c r="Z58" i="333" s="1"/>
  <c r="Z60" i="333"/>
  <c r="Z53" i="333" s="1"/>
  <c r="AF10" i="333"/>
  <c r="AF9" i="333" s="1"/>
  <c r="AD5" i="333"/>
  <c r="AA34" i="333" s="1"/>
  <c r="AB34" i="333" s="1"/>
  <c r="AA35" i="333"/>
  <c r="O66" i="333"/>
  <c r="O64" i="333"/>
  <c r="O60" i="333"/>
  <c r="O76" i="333"/>
  <c r="O68" i="333"/>
  <c r="O58" i="333"/>
  <c r="O57" i="333"/>
  <c r="O77" i="333"/>
  <c r="O70" i="333"/>
  <c r="O73" i="333"/>
  <c r="O72" i="333"/>
  <c r="O79" i="333"/>
  <c r="O78" i="333"/>
  <c r="O71" i="333"/>
  <c r="O62" i="333"/>
  <c r="O75" i="333"/>
  <c r="O61" i="333"/>
  <c r="AE35" i="333"/>
  <c r="AE37" i="333" s="1"/>
  <c r="AC37" i="333"/>
  <c r="O65" i="333"/>
  <c r="O59" i="333"/>
  <c r="O85" i="333"/>
  <c r="O43" i="333"/>
  <c r="O47" i="333"/>
  <c r="O46" i="333"/>
  <c r="O44" i="333"/>
  <c r="O39" i="333"/>
  <c r="O42" i="333"/>
  <c r="O55" i="333"/>
  <c r="O32" i="333"/>
  <c r="O38" i="333"/>
  <c r="O36" i="333"/>
  <c r="AB97" i="333"/>
  <c r="O102" i="333"/>
  <c r="O100" i="333"/>
  <c r="O94" i="333"/>
  <c r="O103" i="333"/>
  <c r="O101" i="333"/>
  <c r="O97" i="333"/>
  <c r="O95" i="333"/>
  <c r="O99" i="333"/>
  <c r="O98" i="333"/>
  <c r="O96" i="333"/>
  <c r="O50" i="333"/>
  <c r="O34" i="333"/>
  <c r="V10" i="333"/>
  <c r="V105" i="333" s="1"/>
  <c r="O45" i="333"/>
  <c r="O53" i="333"/>
  <c r="Z14" i="333"/>
  <c r="AA10" i="333"/>
  <c r="S105" i="333"/>
  <c r="AC4" i="333" s="1"/>
  <c r="AB80" i="333"/>
  <c r="AD80" i="333" s="1"/>
  <c r="AK77" i="333" s="1"/>
  <c r="AL77" i="333" s="1"/>
  <c r="O67" i="333"/>
  <c r="O80" i="333"/>
  <c r="O74" i="333"/>
  <c r="O63" i="333"/>
  <c r="O86" i="333"/>
  <c r="O92" i="333"/>
  <c r="O89" i="333"/>
  <c r="O87" i="333"/>
  <c r="O91" i="333"/>
  <c r="AT10" i="333"/>
  <c r="AU10" i="333" s="1"/>
  <c r="N2" i="333"/>
  <c r="O7" i="333" s="1"/>
  <c r="AB92" i="333"/>
  <c r="O37" i="333"/>
  <c r="I7" i="332"/>
  <c r="H7" i="332"/>
  <c r="AD60" i="333" l="1"/>
  <c r="AE80" i="333" s="1"/>
  <c r="AB5" i="333"/>
  <c r="AA37" i="333"/>
  <c r="AB37" i="333" s="1"/>
  <c r="AB35" i="333"/>
  <c r="Z59" i="333"/>
  <c r="Z61" i="333" s="1"/>
  <c r="AC5" i="333"/>
  <c r="AE5" i="333" s="1"/>
  <c r="AE4" i="333"/>
  <c r="N105" i="333"/>
  <c r="O26" i="333"/>
  <c r="O16" i="333"/>
  <c r="O13" i="333"/>
  <c r="O12" i="333"/>
  <c r="O11" i="333"/>
  <c r="O29" i="333"/>
  <c r="O28" i="333"/>
  <c r="O8" i="333"/>
  <c r="O6" i="333"/>
  <c r="O9" i="333"/>
  <c r="O3" i="333"/>
  <c r="O5" i="333"/>
  <c r="O4" i="333"/>
  <c r="O19" i="333"/>
  <c r="O14" i="333"/>
  <c r="O10" i="333"/>
  <c r="O17" i="333"/>
  <c r="O2" i="333"/>
  <c r="O15" i="333"/>
  <c r="O27" i="333"/>
  <c r="O25" i="333"/>
  <c r="O22" i="333"/>
  <c r="O24" i="333"/>
  <c r="O20" i="333"/>
  <c r="AB78" i="333"/>
  <c r="AD58" i="333"/>
  <c r="AF80" i="333"/>
  <c r="Z18" i="333"/>
  <c r="Z24" i="333" s="1"/>
  <c r="W2" i="333" s="1"/>
  <c r="Z13" i="333"/>
  <c r="AA4" i="333"/>
  <c r="AA3" i="333"/>
  <c r="Z9" i="332"/>
  <c r="AA9" i="332" s="1"/>
  <c r="AC115" i="332"/>
  <c r="AA102" i="332"/>
  <c r="R105" i="332"/>
  <c r="P105" i="332"/>
  <c r="M105" i="332"/>
  <c r="J105" i="332"/>
  <c r="I105" i="332"/>
  <c r="U103" i="332"/>
  <c r="T103" i="332"/>
  <c r="S103" i="332"/>
  <c r="Q103" i="332"/>
  <c r="K103" i="332"/>
  <c r="U102" i="332"/>
  <c r="T102" i="332"/>
  <c r="S102" i="332"/>
  <c r="Q102" i="332"/>
  <c r="K102" i="332"/>
  <c r="U101" i="332"/>
  <c r="T101" i="332"/>
  <c r="S101" i="332"/>
  <c r="Q101" i="332"/>
  <c r="K101" i="332"/>
  <c r="AA100" i="332"/>
  <c r="U100" i="332"/>
  <c r="T100" i="332"/>
  <c r="S100" i="332"/>
  <c r="Q100" i="332"/>
  <c r="K100" i="332"/>
  <c r="AA99" i="332"/>
  <c r="U99" i="332"/>
  <c r="T99" i="332"/>
  <c r="S99" i="332"/>
  <c r="Q99" i="332"/>
  <c r="K99" i="332"/>
  <c r="AA98" i="332"/>
  <c r="U98" i="332"/>
  <c r="T98" i="332"/>
  <c r="S98" i="332"/>
  <c r="Q98" i="332"/>
  <c r="K98" i="332"/>
  <c r="U97" i="332"/>
  <c r="T97" i="332"/>
  <c r="S97" i="332"/>
  <c r="Q97" i="332"/>
  <c r="K97" i="332"/>
  <c r="U96" i="332"/>
  <c r="T96" i="332"/>
  <c r="S96" i="332"/>
  <c r="Q96" i="332"/>
  <c r="K96" i="332"/>
  <c r="AA95" i="332"/>
  <c r="U95" i="332"/>
  <c r="T95" i="332"/>
  <c r="S95" i="332"/>
  <c r="Q95" i="332"/>
  <c r="K95" i="332"/>
  <c r="AA94" i="332"/>
  <c r="U94" i="332"/>
  <c r="T94" i="332"/>
  <c r="S94" i="332"/>
  <c r="Q94" i="332"/>
  <c r="K94" i="332"/>
  <c r="AA93" i="332"/>
  <c r="U93" i="332"/>
  <c r="T93" i="332"/>
  <c r="S93" i="332"/>
  <c r="Q93" i="332"/>
  <c r="K93" i="332"/>
  <c r="U92" i="332"/>
  <c r="T92" i="332"/>
  <c r="S92" i="332"/>
  <c r="Q92" i="332"/>
  <c r="K92" i="332"/>
  <c r="U91" i="332"/>
  <c r="T91" i="332"/>
  <c r="S91" i="332"/>
  <c r="Q91" i="332"/>
  <c r="K91" i="332"/>
  <c r="U90" i="332"/>
  <c r="T90" i="332"/>
  <c r="S90" i="332"/>
  <c r="Q90" i="332"/>
  <c r="K90" i="332"/>
  <c r="U89" i="332"/>
  <c r="T89" i="332"/>
  <c r="S89" i="332"/>
  <c r="Q89" i="332"/>
  <c r="K89" i="332"/>
  <c r="U88" i="332"/>
  <c r="T88" i="332"/>
  <c r="S88" i="332"/>
  <c r="Q88" i="332"/>
  <c r="K88" i="332"/>
  <c r="AE87" i="332"/>
  <c r="AF86" i="332" s="1"/>
  <c r="AG86" i="332" s="1"/>
  <c r="AH86" i="332" s="1"/>
  <c r="AH87" i="332" s="1"/>
  <c r="AH88" i="332" s="1"/>
  <c r="AA87" i="332"/>
  <c r="Y87" i="332"/>
  <c r="U87" i="332"/>
  <c r="T87" i="332"/>
  <c r="S87" i="332"/>
  <c r="Q87" i="332"/>
  <c r="K87" i="332"/>
  <c r="U86" i="332"/>
  <c r="T86" i="332"/>
  <c r="S86" i="332"/>
  <c r="Q86" i="332"/>
  <c r="K86" i="332"/>
  <c r="U85" i="332"/>
  <c r="T85" i="332"/>
  <c r="S85" i="332"/>
  <c r="Q85" i="332"/>
  <c r="K85" i="332"/>
  <c r="U84" i="332"/>
  <c r="T84" i="332"/>
  <c r="S84" i="332"/>
  <c r="Q84" i="332"/>
  <c r="K84" i="332"/>
  <c r="U83" i="332"/>
  <c r="T83" i="332"/>
  <c r="S83" i="332"/>
  <c r="Q83" i="332"/>
  <c r="K83" i="332"/>
  <c r="U82" i="332"/>
  <c r="T82" i="332"/>
  <c r="S82" i="332"/>
  <c r="Q82" i="332"/>
  <c r="K82" i="332"/>
  <c r="Z81" i="332"/>
  <c r="U81" i="332"/>
  <c r="T81" i="332"/>
  <c r="S81" i="332"/>
  <c r="Q81" i="332"/>
  <c r="K81" i="332"/>
  <c r="AI80" i="332"/>
  <c r="U80" i="332"/>
  <c r="T80" i="332"/>
  <c r="S80" i="332"/>
  <c r="Q80" i="332"/>
  <c r="K80" i="332"/>
  <c r="AA79" i="332"/>
  <c r="U79" i="332"/>
  <c r="T79" i="332"/>
  <c r="S79" i="332"/>
  <c r="Q79" i="332"/>
  <c r="K79" i="332"/>
  <c r="AI78" i="332"/>
  <c r="U78" i="332"/>
  <c r="T78" i="332"/>
  <c r="S78" i="332"/>
  <c r="Q78" i="332"/>
  <c r="K78" i="332"/>
  <c r="U77" i="332"/>
  <c r="T77" i="332"/>
  <c r="S77" i="332"/>
  <c r="Q77" i="332"/>
  <c r="K77" i="332"/>
  <c r="U76" i="332"/>
  <c r="T76" i="332"/>
  <c r="S76" i="332"/>
  <c r="Q76" i="332"/>
  <c r="K76" i="332"/>
  <c r="U75" i="332"/>
  <c r="T75" i="332"/>
  <c r="S75" i="332"/>
  <c r="Q75" i="332"/>
  <c r="K75" i="332"/>
  <c r="U74" i="332"/>
  <c r="T74" i="332"/>
  <c r="S74" i="332"/>
  <c r="Q74" i="332"/>
  <c r="K74" i="332"/>
  <c r="AP73" i="332"/>
  <c r="AQ73" i="332" s="1"/>
  <c r="AD73" i="332"/>
  <c r="AM72" i="332" s="1"/>
  <c r="AN73" i="332" s="1"/>
  <c r="Z73" i="332"/>
  <c r="U73" i="332"/>
  <c r="T73" i="332"/>
  <c r="S73" i="332"/>
  <c r="Q73" i="332"/>
  <c r="K73" i="332"/>
  <c r="Z72" i="332"/>
  <c r="U72" i="332"/>
  <c r="T72" i="332"/>
  <c r="S72" i="332"/>
  <c r="Q72" i="332"/>
  <c r="K72" i="332"/>
  <c r="U71" i="332"/>
  <c r="T71" i="332"/>
  <c r="S71" i="332"/>
  <c r="Q71" i="332"/>
  <c r="K71" i="332"/>
  <c r="U70" i="332"/>
  <c r="T70" i="332"/>
  <c r="S70" i="332"/>
  <c r="Q70" i="332"/>
  <c r="K70" i="332"/>
  <c r="U69" i="332"/>
  <c r="T69" i="332"/>
  <c r="S69" i="332"/>
  <c r="Q69" i="332"/>
  <c r="K69" i="332"/>
  <c r="U68" i="332"/>
  <c r="T68" i="332"/>
  <c r="S68" i="332"/>
  <c r="Q68" i="332"/>
  <c r="K68" i="332"/>
  <c r="AL67" i="332"/>
  <c r="AA67" i="332"/>
  <c r="U67" i="332"/>
  <c r="T67" i="332"/>
  <c r="S67" i="332"/>
  <c r="Q67" i="332"/>
  <c r="K67" i="332"/>
  <c r="AF66" i="332"/>
  <c r="U66" i="332"/>
  <c r="T66" i="332"/>
  <c r="S66" i="332"/>
  <c r="Q66" i="332"/>
  <c r="K66" i="332"/>
  <c r="AF65" i="332"/>
  <c r="U65" i="332"/>
  <c r="T65" i="332"/>
  <c r="S65" i="332"/>
  <c r="Q65" i="332"/>
  <c r="K65" i="332"/>
  <c r="AL64" i="332"/>
  <c r="U64" i="332"/>
  <c r="T64" i="332"/>
  <c r="S64" i="332"/>
  <c r="Q64" i="332"/>
  <c r="K64" i="332"/>
  <c r="U63" i="332"/>
  <c r="T63" i="332"/>
  <c r="S63" i="332"/>
  <c r="Q63" i="332"/>
  <c r="K63" i="332"/>
  <c r="AC62" i="332"/>
  <c r="U62" i="332"/>
  <c r="T62" i="332"/>
  <c r="S62" i="332"/>
  <c r="Q62" i="332"/>
  <c r="K62" i="332"/>
  <c r="U61" i="332"/>
  <c r="T61" i="332"/>
  <c r="S61" i="332"/>
  <c r="Q61" i="332"/>
  <c r="K61" i="332"/>
  <c r="AL60" i="332"/>
  <c r="U60" i="332"/>
  <c r="T60" i="332"/>
  <c r="S60" i="332"/>
  <c r="Q60" i="332"/>
  <c r="K60" i="332"/>
  <c r="AB59" i="332"/>
  <c r="AA59" i="332"/>
  <c r="AC79" i="332" s="1"/>
  <c r="U59" i="332"/>
  <c r="T59" i="332"/>
  <c r="S59" i="332"/>
  <c r="Q59" i="332"/>
  <c r="K59" i="332"/>
  <c r="AB58" i="332"/>
  <c r="AA58" i="332"/>
  <c r="AC78" i="332" s="1"/>
  <c r="U58" i="332"/>
  <c r="T58" i="332"/>
  <c r="S58" i="332"/>
  <c r="Q58" i="332"/>
  <c r="K58" i="332"/>
  <c r="U57" i="332"/>
  <c r="T57" i="332"/>
  <c r="S57" i="332"/>
  <c r="Q57" i="332"/>
  <c r="K57" i="332"/>
  <c r="U56" i="332"/>
  <c r="T56" i="332"/>
  <c r="S56" i="332"/>
  <c r="Q56" i="332"/>
  <c r="K56" i="332"/>
  <c r="AL55" i="332"/>
  <c r="Y55" i="332"/>
  <c r="U55" i="332"/>
  <c r="S55" i="332"/>
  <c r="Q55" i="332"/>
  <c r="T55" i="332" s="1"/>
  <c r="K55" i="332"/>
  <c r="U54" i="332"/>
  <c r="T54" i="332"/>
  <c r="S54" i="332"/>
  <c r="Q54" i="332"/>
  <c r="K54" i="332"/>
  <c r="AM53" i="332"/>
  <c r="AM55" i="332" s="1"/>
  <c r="Y53" i="332"/>
  <c r="U53" i="332"/>
  <c r="T53" i="332"/>
  <c r="Q53" i="332"/>
  <c r="S53" i="332" s="1"/>
  <c r="K53" i="332"/>
  <c r="U52" i="332"/>
  <c r="T52" i="332"/>
  <c r="S52" i="332"/>
  <c r="Q52" i="332"/>
  <c r="K52" i="332"/>
  <c r="Y51" i="332"/>
  <c r="U51" i="332"/>
  <c r="T51" i="332"/>
  <c r="S51" i="332"/>
  <c r="K51" i="332"/>
  <c r="AB50" i="332"/>
  <c r="U50" i="332"/>
  <c r="T50" i="332"/>
  <c r="S50" i="332"/>
  <c r="Q50" i="332"/>
  <c r="K50" i="332"/>
  <c r="Y49" i="332"/>
  <c r="Z49" i="332" s="1"/>
  <c r="U49" i="332"/>
  <c r="T49" i="332"/>
  <c r="S49" i="332"/>
  <c r="Q49" i="332"/>
  <c r="K49" i="332"/>
  <c r="Y48" i="332"/>
  <c r="Z48" i="332" s="1"/>
  <c r="U48" i="332"/>
  <c r="T48" i="332"/>
  <c r="S48" i="332"/>
  <c r="Q48" i="332"/>
  <c r="K48" i="332"/>
  <c r="U47" i="332"/>
  <c r="T47" i="332"/>
  <c r="S47" i="332"/>
  <c r="Q47" i="332"/>
  <c r="K47" i="332"/>
  <c r="AF46" i="332"/>
  <c r="U46" i="332"/>
  <c r="T46" i="332"/>
  <c r="Q46" i="332"/>
  <c r="S46" i="332" s="1"/>
  <c r="K46" i="332"/>
  <c r="AB45" i="332"/>
  <c r="AA45" i="332"/>
  <c r="U45" i="332"/>
  <c r="T45" i="332"/>
  <c r="S45" i="332"/>
  <c r="Q45" i="332"/>
  <c r="K45" i="332"/>
  <c r="AE44" i="332"/>
  <c r="AE46" i="332" s="1"/>
  <c r="AB44" i="332"/>
  <c r="AA44" i="332"/>
  <c r="U44" i="332"/>
  <c r="T44" i="332"/>
  <c r="S44" i="332"/>
  <c r="Q44" i="332"/>
  <c r="K44" i="332"/>
  <c r="AB43" i="332"/>
  <c r="AA43" i="332"/>
  <c r="U43" i="332"/>
  <c r="T43" i="332"/>
  <c r="S43" i="332"/>
  <c r="Q43" i="332"/>
  <c r="K43" i="332"/>
  <c r="AA42" i="332"/>
  <c r="U42" i="332"/>
  <c r="T42" i="332"/>
  <c r="S42" i="332"/>
  <c r="Q42" i="332"/>
  <c r="K42" i="332"/>
  <c r="U41" i="332"/>
  <c r="T41" i="332"/>
  <c r="S41" i="332"/>
  <c r="Q41" i="332"/>
  <c r="K41" i="332"/>
  <c r="U40" i="332"/>
  <c r="T40" i="332"/>
  <c r="S40" i="332"/>
  <c r="K40" i="332"/>
  <c r="AH39" i="332"/>
  <c r="U39" i="332"/>
  <c r="T39" i="332"/>
  <c r="S39" i="332"/>
  <c r="Q39" i="332"/>
  <c r="K39" i="332"/>
  <c r="U38" i="332"/>
  <c r="T38" i="332"/>
  <c r="S38" i="332"/>
  <c r="Q38" i="332"/>
  <c r="K38" i="332"/>
  <c r="U37" i="332"/>
  <c r="T37" i="332"/>
  <c r="S37" i="332"/>
  <c r="Q37" i="332"/>
  <c r="K37" i="332"/>
  <c r="Z36" i="332"/>
  <c r="U36" i="332"/>
  <c r="T36" i="332"/>
  <c r="S36" i="332"/>
  <c r="Q36" i="332"/>
  <c r="K36" i="332"/>
  <c r="Z35" i="332"/>
  <c r="U35" i="332"/>
  <c r="T35" i="332"/>
  <c r="S35" i="332"/>
  <c r="Q35" i="332"/>
  <c r="K35" i="332"/>
  <c r="AI34" i="332"/>
  <c r="AH34" i="332"/>
  <c r="AC34" i="332"/>
  <c r="AD34" i="332" s="1"/>
  <c r="AD36" i="332" s="1"/>
  <c r="U34" i="332"/>
  <c r="T34" i="332"/>
  <c r="S34" i="332"/>
  <c r="Q34" i="332"/>
  <c r="K34" i="332"/>
  <c r="U33" i="332"/>
  <c r="T33" i="332"/>
  <c r="S33" i="332"/>
  <c r="Q33" i="332"/>
  <c r="K33" i="332"/>
  <c r="U32" i="332"/>
  <c r="T32" i="332"/>
  <c r="S32" i="332"/>
  <c r="Q32" i="332"/>
  <c r="K32" i="332"/>
  <c r="U31" i="332"/>
  <c r="T31" i="332"/>
  <c r="S31" i="332"/>
  <c r="Q31" i="332"/>
  <c r="K31" i="332"/>
  <c r="Z30" i="332"/>
  <c r="U30" i="332"/>
  <c r="T30" i="332"/>
  <c r="S30" i="332"/>
  <c r="Q30" i="332"/>
  <c r="K30" i="332"/>
  <c r="U29" i="332"/>
  <c r="T29" i="332"/>
  <c r="S29" i="332"/>
  <c r="Q29" i="332"/>
  <c r="K29" i="332"/>
  <c r="AA28" i="332"/>
  <c r="U28" i="332"/>
  <c r="T28" i="332"/>
  <c r="S28" i="332"/>
  <c r="Q28" i="332"/>
  <c r="K28" i="332"/>
  <c r="AC27" i="332"/>
  <c r="AA27" i="332"/>
  <c r="U27" i="332"/>
  <c r="T27" i="332"/>
  <c r="S27" i="332"/>
  <c r="Q27" i="332"/>
  <c r="K27" i="332"/>
  <c r="AC26" i="332"/>
  <c r="AE26" i="332" s="1"/>
  <c r="T26" i="332"/>
  <c r="S26" i="332"/>
  <c r="Q26" i="332"/>
  <c r="U26" i="332" s="1"/>
  <c r="K26" i="332"/>
  <c r="AE25" i="332"/>
  <c r="U25" i="332"/>
  <c r="T25" i="332"/>
  <c r="Q25" i="332"/>
  <c r="S25" i="332" s="1"/>
  <c r="K25" i="332"/>
  <c r="U24" i="332"/>
  <c r="T24" i="332"/>
  <c r="S24" i="332"/>
  <c r="Q24" i="332"/>
  <c r="K24" i="332"/>
  <c r="U23" i="332"/>
  <c r="T23" i="332"/>
  <c r="S23" i="332"/>
  <c r="Q23" i="332"/>
  <c r="K23" i="332"/>
  <c r="U22" i="332"/>
  <c r="T22" i="332"/>
  <c r="Q22" i="332"/>
  <c r="S22" i="332" s="1"/>
  <c r="K22" i="332"/>
  <c r="U21" i="332"/>
  <c r="T21" i="332"/>
  <c r="S21" i="332"/>
  <c r="Q21" i="332"/>
  <c r="K21" i="332"/>
  <c r="U20" i="332"/>
  <c r="T20" i="332"/>
  <c r="Q20" i="332"/>
  <c r="S20" i="332" s="1"/>
  <c r="K20" i="332"/>
  <c r="U19" i="332"/>
  <c r="T19" i="332"/>
  <c r="Q19" i="332"/>
  <c r="S19" i="332" s="1"/>
  <c r="K19" i="332"/>
  <c r="U18" i="332"/>
  <c r="Q18" i="332"/>
  <c r="T18" i="332" s="1"/>
  <c r="AB94" i="332" s="1"/>
  <c r="K18" i="332"/>
  <c r="U17" i="332"/>
  <c r="Q17" i="332"/>
  <c r="S17" i="332" s="1"/>
  <c r="K17" i="332"/>
  <c r="U16" i="332"/>
  <c r="T16" i="332"/>
  <c r="S16" i="332"/>
  <c r="K16" i="332"/>
  <c r="Z15" i="332"/>
  <c r="AA15" i="332" s="1"/>
  <c r="U15" i="332"/>
  <c r="T15" i="332"/>
  <c r="Q15" i="332"/>
  <c r="S15" i="332" s="1"/>
  <c r="K15" i="332"/>
  <c r="U14" i="332"/>
  <c r="T14" i="332"/>
  <c r="Q14" i="332"/>
  <c r="S14" i="332" s="1"/>
  <c r="K14" i="332"/>
  <c r="U13" i="332"/>
  <c r="Q13" i="332"/>
  <c r="S13" i="332" s="1"/>
  <c r="K13" i="332"/>
  <c r="AC12" i="332"/>
  <c r="AB12" i="332"/>
  <c r="AA12" i="332"/>
  <c r="U12" i="332"/>
  <c r="Q12" i="332"/>
  <c r="T12" i="332" s="1"/>
  <c r="K12" i="332"/>
  <c r="AH11" i="332"/>
  <c r="AE11" i="332"/>
  <c r="AF11" i="332" s="1"/>
  <c r="AA11" i="332"/>
  <c r="U11" i="332"/>
  <c r="T11" i="332"/>
  <c r="Q11" i="332"/>
  <c r="S11" i="332" s="1"/>
  <c r="K11" i="332"/>
  <c r="AH10" i="332"/>
  <c r="AA60" i="332" s="1"/>
  <c r="AE10" i="332"/>
  <c r="AB10" i="332"/>
  <c r="AC58" i="332" s="1"/>
  <c r="U10" i="332"/>
  <c r="Q10" i="332"/>
  <c r="T10" i="332" s="1"/>
  <c r="K10" i="332"/>
  <c r="U9" i="332"/>
  <c r="Q9" i="332"/>
  <c r="K9" i="332"/>
  <c r="U8" i="332"/>
  <c r="T8" i="332"/>
  <c r="Q8" i="332"/>
  <c r="S8" i="332" s="1"/>
  <c r="K8" i="332"/>
  <c r="Z7" i="332"/>
  <c r="U7" i="332"/>
  <c r="Q7" i="332"/>
  <c r="S7" i="332" s="1"/>
  <c r="K7" i="332"/>
  <c r="AA97" i="332"/>
  <c r="Z6" i="332"/>
  <c r="U6" i="332"/>
  <c r="T6" i="332"/>
  <c r="Q6" i="332"/>
  <c r="S6" i="332" s="1"/>
  <c r="K6" i="332"/>
  <c r="AM5" i="332"/>
  <c r="AM6" i="332" s="1"/>
  <c r="AM8" i="332" s="1"/>
  <c r="AL5" i="332"/>
  <c r="AL6" i="332" s="1"/>
  <c r="AL8" i="332" s="1"/>
  <c r="AK5" i="332"/>
  <c r="AK6" i="332" s="1"/>
  <c r="AK8" i="332" s="1"/>
  <c r="AJ5" i="332"/>
  <c r="AJ6" i="332" s="1"/>
  <c r="AJ8" i="332" s="1"/>
  <c r="U5" i="332"/>
  <c r="S5" i="332"/>
  <c r="Q5" i="332"/>
  <c r="T5" i="332" s="1"/>
  <c r="K5" i="332"/>
  <c r="U4" i="332"/>
  <c r="S4" i="332"/>
  <c r="Q4" i="332"/>
  <c r="T4" i="332" s="1"/>
  <c r="K4" i="332"/>
  <c r="AO3" i="332"/>
  <c r="AE3" i="332"/>
  <c r="U3" i="332"/>
  <c r="S3" i="332"/>
  <c r="Q3" i="332"/>
  <c r="T3" i="332" s="1"/>
  <c r="K3" i="332"/>
  <c r="U2" i="332"/>
  <c r="T2" i="332"/>
  <c r="Q2" i="332"/>
  <c r="S2" i="332" s="1"/>
  <c r="K2" i="332"/>
  <c r="Z62" i="333" l="1"/>
  <c r="Z70" i="333"/>
  <c r="AE70" i="333"/>
  <c r="AB17" i="333"/>
  <c r="Z4" i="333"/>
  <c r="Z3" i="333"/>
  <c r="W3" i="333"/>
  <c r="AF3" i="333"/>
  <c r="AA5" i="333"/>
  <c r="AG3" i="333"/>
  <c r="AD78" i="333"/>
  <c r="AD59" i="333"/>
  <c r="AE79" i="333" s="1"/>
  <c r="AB79" i="333"/>
  <c r="AD79" i="333" s="1"/>
  <c r="AK76" i="333" s="1"/>
  <c r="AL76" i="333" s="1"/>
  <c r="AG4" i="333"/>
  <c r="AF4" i="333"/>
  <c r="L2" i="333"/>
  <c r="L3" i="333" s="1"/>
  <c r="L4" i="333" s="1"/>
  <c r="L5" i="333" s="1"/>
  <c r="L6" i="333" s="1"/>
  <c r="L7" i="333" s="1"/>
  <c r="L8" i="333" s="1"/>
  <c r="L9" i="333" s="1"/>
  <c r="L10" i="333" s="1"/>
  <c r="L11" i="333" s="1"/>
  <c r="L12" i="333" s="1"/>
  <c r="L13" i="333" s="1"/>
  <c r="L14" i="333" s="1"/>
  <c r="L15" i="333" s="1"/>
  <c r="L16" i="333" s="1"/>
  <c r="L17" i="333" s="1"/>
  <c r="L18" i="333" s="1"/>
  <c r="L19" i="333" s="1"/>
  <c r="L20" i="333" s="1"/>
  <c r="L21" i="333" s="1"/>
  <c r="L22" i="333" s="1"/>
  <c r="L23" i="333" s="1"/>
  <c r="L24" i="333" s="1"/>
  <c r="L25" i="333" s="1"/>
  <c r="L26" i="333" s="1"/>
  <c r="L27" i="333" s="1"/>
  <c r="L28" i="333" s="1"/>
  <c r="L29" i="333" s="1"/>
  <c r="L30" i="333" s="1"/>
  <c r="L31" i="333" s="1"/>
  <c r="L32" i="333" s="1"/>
  <c r="L33" i="333" s="1"/>
  <c r="L34" i="333" s="1"/>
  <c r="L35" i="333" s="1"/>
  <c r="L36" i="333" s="1"/>
  <c r="L37" i="333" s="1"/>
  <c r="L38" i="333" s="1"/>
  <c r="L39" i="333" s="1"/>
  <c r="L40" i="333" s="1"/>
  <c r="L41" i="333" s="1"/>
  <c r="L42" i="333" s="1"/>
  <c r="L43" i="333" s="1"/>
  <c r="L44" i="333" s="1"/>
  <c r="L45" i="333" s="1"/>
  <c r="L46" i="333" s="1"/>
  <c r="L47" i="333" s="1"/>
  <c r="L48" i="333" s="1"/>
  <c r="L49" i="333" s="1"/>
  <c r="L50" i="333" s="1"/>
  <c r="L51" i="333" s="1"/>
  <c r="L52" i="333" s="1"/>
  <c r="L53" i="333" s="1"/>
  <c r="L54" i="333" s="1"/>
  <c r="L55" i="333" s="1"/>
  <c r="L56" i="333" s="1"/>
  <c r="L57" i="333" s="1"/>
  <c r="L58" i="333" s="1"/>
  <c r="L59" i="333" s="1"/>
  <c r="L60" i="333" s="1"/>
  <c r="L61" i="333" s="1"/>
  <c r="L62" i="333" s="1"/>
  <c r="L63" i="333" s="1"/>
  <c r="L64" i="333" s="1"/>
  <c r="L65" i="333" s="1"/>
  <c r="L66" i="333" s="1"/>
  <c r="L67" i="333" s="1"/>
  <c r="L68" i="333" s="1"/>
  <c r="L69" i="333" s="1"/>
  <c r="L70" i="333" s="1"/>
  <c r="L71" i="333" s="1"/>
  <c r="L72" i="333" s="1"/>
  <c r="L73" i="333" s="1"/>
  <c r="L74" i="333" s="1"/>
  <c r="L75" i="333" s="1"/>
  <c r="L76" i="333" s="1"/>
  <c r="L77" i="333" s="1"/>
  <c r="L78" i="333" s="1"/>
  <c r="L79" i="333" s="1"/>
  <c r="L80" i="333" s="1"/>
  <c r="L81" i="333" s="1"/>
  <c r="L82" i="333" s="1"/>
  <c r="L83" i="333" s="1"/>
  <c r="L84" i="333" s="1"/>
  <c r="L85" i="333" s="1"/>
  <c r="L86" i="333" s="1"/>
  <c r="L87" i="333" s="1"/>
  <c r="L88" i="333" s="1"/>
  <c r="L89" i="333" s="1"/>
  <c r="L90" i="333" s="1"/>
  <c r="L91" i="333" s="1"/>
  <c r="L92" i="333" s="1"/>
  <c r="L93" i="333" s="1"/>
  <c r="L94" i="333" s="1"/>
  <c r="L95" i="333" s="1"/>
  <c r="L96" i="333" s="1"/>
  <c r="L97" i="333" s="1"/>
  <c r="L98" i="333" s="1"/>
  <c r="L99" i="333" s="1"/>
  <c r="L100" i="333" s="1"/>
  <c r="L101" i="333" s="1"/>
  <c r="L102" i="333" s="1"/>
  <c r="L103" i="333" s="1"/>
  <c r="L105" i="333" s="1"/>
  <c r="AE78" i="333"/>
  <c r="AN75" i="333"/>
  <c r="AN76" i="333" s="1"/>
  <c r="S12" i="332"/>
  <c r="V12" i="332" s="1"/>
  <c r="AT11" i="332"/>
  <c r="AU11" i="332" s="1"/>
  <c r="V64" i="332"/>
  <c r="V46" i="332"/>
  <c r="V66" i="332"/>
  <c r="V73" i="332"/>
  <c r="V74" i="332"/>
  <c r="V80" i="332"/>
  <c r="V91" i="332"/>
  <c r="AT7" i="332"/>
  <c r="AU7" i="332" s="1"/>
  <c r="S18" i="332"/>
  <c r="AB99" i="332" s="1"/>
  <c r="T17" i="332"/>
  <c r="V17" i="332" s="1"/>
  <c r="AE27" i="332"/>
  <c r="AT22" i="332"/>
  <c r="AU22" i="332" s="1"/>
  <c r="AT19" i="332"/>
  <c r="AU19" i="332" s="1"/>
  <c r="AC45" i="332"/>
  <c r="AT17" i="332"/>
  <c r="AU17" i="332" s="1"/>
  <c r="Z16" i="332"/>
  <c r="AA16" i="332" s="1"/>
  <c r="V34" i="332"/>
  <c r="V36" i="332"/>
  <c r="AC43" i="332"/>
  <c r="V44" i="332"/>
  <c r="V27" i="332"/>
  <c r="V54" i="332"/>
  <c r="V85" i="332"/>
  <c r="V87" i="332"/>
  <c r="V89" i="332"/>
  <c r="V90" i="332"/>
  <c r="V92" i="332"/>
  <c r="V29" i="332"/>
  <c r="V3" i="332"/>
  <c r="AT8" i="332"/>
  <c r="AU8" i="332" s="1"/>
  <c r="AB102" i="332"/>
  <c r="V28" i="332"/>
  <c r="V38" i="332"/>
  <c r="V102" i="332"/>
  <c r="AT6" i="332"/>
  <c r="AU6" i="332" s="1"/>
  <c r="AT15" i="332"/>
  <c r="AU15" i="332" s="1"/>
  <c r="V15" i="332"/>
  <c r="V25" i="332"/>
  <c r="V40" i="332"/>
  <c r="V43" i="332"/>
  <c r="V49" i="332"/>
  <c r="V51" i="332"/>
  <c r="V6" i="332"/>
  <c r="V37" i="332"/>
  <c r="V48" i="332"/>
  <c r="V69" i="332"/>
  <c r="V71" i="332"/>
  <c r="V84" i="332"/>
  <c r="X84" i="332" s="1"/>
  <c r="V86" i="332"/>
  <c r="V93" i="332"/>
  <c r="V99" i="332"/>
  <c r="V100" i="332"/>
  <c r="T13" i="332"/>
  <c r="V13" i="332" s="1"/>
  <c r="V21" i="332"/>
  <c r="V22" i="332"/>
  <c r="V31" i="332"/>
  <c r="V32" i="332"/>
  <c r="V42" i="332"/>
  <c r="V57" i="332"/>
  <c r="V59" i="332"/>
  <c r="V60" i="332"/>
  <c r="V63" i="332"/>
  <c r="V78" i="332"/>
  <c r="V81" i="332"/>
  <c r="V103" i="332"/>
  <c r="Z37" i="332"/>
  <c r="AA36" i="332"/>
  <c r="AB36" i="332" s="1"/>
  <c r="V50" i="332"/>
  <c r="V77" i="332"/>
  <c r="V98" i="332"/>
  <c r="AT4" i="332"/>
  <c r="AU4" i="332" s="1"/>
  <c r="AT5" i="332"/>
  <c r="AU5" i="332" s="1"/>
  <c r="AH12" i="332"/>
  <c r="V14" i="332"/>
  <c r="V20" i="332"/>
  <c r="V24" i="332"/>
  <c r="V33" i="332"/>
  <c r="V35" i="332"/>
  <c r="V41" i="332"/>
  <c r="V47" i="332"/>
  <c r="V53" i="332"/>
  <c r="V56" i="332"/>
  <c r="V58" i="332"/>
  <c r="AC61" i="332"/>
  <c r="AA68" i="332" s="1"/>
  <c r="V83" i="332"/>
  <c r="V94" i="332"/>
  <c r="V101" i="332"/>
  <c r="V4" i="332"/>
  <c r="V8" i="332"/>
  <c r="V23" i="332"/>
  <c r="V5" i="332"/>
  <c r="S10" i="332"/>
  <c r="V10" i="332" s="1"/>
  <c r="V16" i="332"/>
  <c r="V26" i="332"/>
  <c r="AC44" i="332"/>
  <c r="N2" i="332"/>
  <c r="O26" i="332" s="1"/>
  <c r="T9" i="332"/>
  <c r="S9" i="332"/>
  <c r="V19" i="332"/>
  <c r="AB98" i="332"/>
  <c r="V2" i="332"/>
  <c r="AA92" i="332"/>
  <c r="AB42" i="332"/>
  <c r="AC42" i="332" s="1"/>
  <c r="T7" i="332"/>
  <c r="V7" i="332" s="1"/>
  <c r="AT16" i="332"/>
  <c r="AU16" i="332" s="1"/>
  <c r="AC80" i="332"/>
  <c r="AC81" i="332" s="1"/>
  <c r="AB47" i="332"/>
  <c r="V11" i="332"/>
  <c r="AT12" i="332"/>
  <c r="AU12" i="332" s="1"/>
  <c r="N27" i="332"/>
  <c r="O50" i="332" s="1"/>
  <c r="AD35" i="332"/>
  <c r="AD37" i="332" s="1"/>
  <c r="N50" i="332"/>
  <c r="U105" i="332"/>
  <c r="AD4" i="332" s="1"/>
  <c r="AT10" i="332"/>
  <c r="AU10" i="332" s="1"/>
  <c r="Z10" i="332"/>
  <c r="AT13" i="332"/>
  <c r="AU13" i="332" s="1"/>
  <c r="AT18" i="332"/>
  <c r="AU18" i="332" s="1"/>
  <c r="AB61" i="332"/>
  <c r="AB62" i="332"/>
  <c r="N56" i="332"/>
  <c r="O65" i="332" s="1"/>
  <c r="AN74" i="332"/>
  <c r="AO73" i="332"/>
  <c r="AD26" i="332"/>
  <c r="AD27" i="332" s="1"/>
  <c r="V30" i="332"/>
  <c r="V65" i="332"/>
  <c r="N85" i="332"/>
  <c r="O88" i="332" s="1"/>
  <c r="N94" i="332"/>
  <c r="AC36" i="332"/>
  <c r="AE36" i="332" s="1"/>
  <c r="AC35" i="332"/>
  <c r="AE34" i="332"/>
  <c r="K105" i="332"/>
  <c r="Q105" i="332"/>
  <c r="AT9" i="332"/>
  <c r="AU9" i="332" s="1"/>
  <c r="AT14" i="332"/>
  <c r="AU14" i="332" s="1"/>
  <c r="AB93" i="332"/>
  <c r="V39" i="332"/>
  <c r="V45" i="332"/>
  <c r="V52" i="332"/>
  <c r="V55" i="332"/>
  <c r="V62" i="332"/>
  <c r="V67" i="332"/>
  <c r="V79" i="332"/>
  <c r="N81" i="332"/>
  <c r="O82" i="332" s="1"/>
  <c r="V95" i="332"/>
  <c r="H105" i="332"/>
  <c r="V61" i="332"/>
  <c r="V70" i="332"/>
  <c r="V72" i="332"/>
  <c r="V75" i="332"/>
  <c r="AA81" i="332"/>
  <c r="AA86" i="332" s="1"/>
  <c r="AB86" i="332" s="1"/>
  <c r="AC86" i="332" s="1"/>
  <c r="AD86" i="332" s="1"/>
  <c r="AD87" i="332" s="1"/>
  <c r="AD88" i="332" s="1"/>
  <c r="AI79" i="332"/>
  <c r="V88" i="332"/>
  <c r="V96" i="332"/>
  <c r="AA61" i="332"/>
  <c r="AA62" i="332"/>
  <c r="V68" i="332"/>
  <c r="V76" i="332"/>
  <c r="V82" i="332"/>
  <c r="V97" i="332"/>
  <c r="AB107" i="330"/>
  <c r="AA107" i="330"/>
  <c r="AB100" i="330"/>
  <c r="AA100" i="330"/>
  <c r="AB99" i="330"/>
  <c r="AA99" i="330"/>
  <c r="AB98" i="330"/>
  <c r="AA98" i="330"/>
  <c r="AB97" i="330"/>
  <c r="AA97" i="330"/>
  <c r="AB95" i="330"/>
  <c r="AA95" i="330"/>
  <c r="AB94" i="330"/>
  <c r="AA94" i="330"/>
  <c r="AB93" i="330"/>
  <c r="AA93" i="330"/>
  <c r="AB92" i="330"/>
  <c r="AA92" i="330"/>
  <c r="AA79" i="331"/>
  <c r="I149" i="331"/>
  <c r="J138" i="331"/>
  <c r="I138" i="331"/>
  <c r="K138" i="331" s="1"/>
  <c r="J137" i="331"/>
  <c r="I137" i="331"/>
  <c r="K137" i="331" s="1"/>
  <c r="K150" i="331" s="1"/>
  <c r="J136" i="331"/>
  <c r="I136" i="331"/>
  <c r="J135" i="331"/>
  <c r="I135" i="331"/>
  <c r="K135" i="331" s="1"/>
  <c r="J134" i="331"/>
  <c r="I134" i="331"/>
  <c r="J133" i="331"/>
  <c r="I133" i="331"/>
  <c r="K133" i="331" s="1"/>
  <c r="J132" i="331"/>
  <c r="I132" i="331"/>
  <c r="K131" i="331"/>
  <c r="J131" i="331"/>
  <c r="I131" i="331"/>
  <c r="J130" i="331"/>
  <c r="I130" i="331"/>
  <c r="J129" i="331"/>
  <c r="I129" i="331"/>
  <c r="J128" i="331"/>
  <c r="I128" i="331"/>
  <c r="I125" i="331"/>
  <c r="I151" i="331" s="1"/>
  <c r="I124" i="331"/>
  <c r="J123" i="331"/>
  <c r="I123" i="331"/>
  <c r="J122" i="331"/>
  <c r="J148" i="331" s="1"/>
  <c r="I122" i="331"/>
  <c r="I121" i="331"/>
  <c r="J121" i="331" s="1"/>
  <c r="I119" i="331"/>
  <c r="I118" i="331"/>
  <c r="I117" i="331"/>
  <c r="J117" i="331" s="1"/>
  <c r="I116" i="331"/>
  <c r="AC115" i="331"/>
  <c r="J115" i="331"/>
  <c r="B115" i="331"/>
  <c r="I111" i="331"/>
  <c r="J108" i="331" s="1"/>
  <c r="AA107" i="331"/>
  <c r="P106" i="331"/>
  <c r="R105" i="331"/>
  <c r="P105" i="331"/>
  <c r="M105" i="331"/>
  <c r="J105" i="331"/>
  <c r="B105" i="331"/>
  <c r="U103" i="331"/>
  <c r="T103" i="331"/>
  <c r="S103" i="331"/>
  <c r="Q103" i="331"/>
  <c r="K103" i="331"/>
  <c r="U102" i="331"/>
  <c r="T102" i="331"/>
  <c r="S102" i="331"/>
  <c r="Q102" i="331"/>
  <c r="K102" i="331"/>
  <c r="U101" i="331"/>
  <c r="T101" i="331"/>
  <c r="S101" i="331"/>
  <c r="Q101" i="331"/>
  <c r="K101" i="331"/>
  <c r="AA100" i="331"/>
  <c r="U100" i="331"/>
  <c r="T100" i="331"/>
  <c r="S100" i="331"/>
  <c r="Q100" i="331"/>
  <c r="K100" i="331"/>
  <c r="AA99" i="331"/>
  <c r="U99" i="331"/>
  <c r="T99" i="331"/>
  <c r="S99" i="331"/>
  <c r="Q99" i="331"/>
  <c r="K99" i="331"/>
  <c r="AA98" i="331"/>
  <c r="U98" i="331"/>
  <c r="T98" i="331"/>
  <c r="S98" i="331"/>
  <c r="Q98" i="331"/>
  <c r="K98" i="331"/>
  <c r="U97" i="331"/>
  <c r="T97" i="331"/>
  <c r="S97" i="331"/>
  <c r="Q97" i="331"/>
  <c r="K97" i="331"/>
  <c r="U96" i="331"/>
  <c r="T96" i="331"/>
  <c r="S96" i="331"/>
  <c r="Q96" i="331"/>
  <c r="K96" i="331"/>
  <c r="AA95" i="331"/>
  <c r="U95" i="331"/>
  <c r="T95" i="331"/>
  <c r="S95" i="331"/>
  <c r="Q95" i="331"/>
  <c r="K95" i="331"/>
  <c r="AA94" i="331"/>
  <c r="U94" i="331"/>
  <c r="T94" i="331"/>
  <c r="S94" i="331"/>
  <c r="Q94" i="331"/>
  <c r="K94" i="331"/>
  <c r="AA93" i="331"/>
  <c r="U93" i="331"/>
  <c r="T93" i="331"/>
  <c r="S93" i="331"/>
  <c r="Q93" i="331"/>
  <c r="K93" i="331"/>
  <c r="U92" i="331"/>
  <c r="T92" i="331"/>
  <c r="S92" i="331"/>
  <c r="Q92" i="331"/>
  <c r="K92" i="331"/>
  <c r="U91" i="331"/>
  <c r="T91" i="331"/>
  <c r="S91" i="331"/>
  <c r="Q91" i="331"/>
  <c r="K91" i="331"/>
  <c r="U90" i="331"/>
  <c r="T90" i="331"/>
  <c r="S90" i="331"/>
  <c r="Q90" i="331"/>
  <c r="K90" i="331"/>
  <c r="U89" i="331"/>
  <c r="T89" i="331"/>
  <c r="S89" i="331"/>
  <c r="Q89" i="331"/>
  <c r="K89" i="331"/>
  <c r="U88" i="331"/>
  <c r="T88" i="331"/>
  <c r="S88" i="331"/>
  <c r="Q88" i="331"/>
  <c r="K88" i="331"/>
  <c r="AE87" i="331"/>
  <c r="AA87" i="331"/>
  <c r="Y87" i="331"/>
  <c r="U87" i="331"/>
  <c r="T87" i="331"/>
  <c r="S87" i="331"/>
  <c r="Q87" i="331"/>
  <c r="K87" i="331"/>
  <c r="AF86" i="331"/>
  <c r="AG86" i="331" s="1"/>
  <c r="AH86" i="331" s="1"/>
  <c r="AH87" i="331" s="1"/>
  <c r="AH88" i="331" s="1"/>
  <c r="U86" i="331"/>
  <c r="T86" i="331"/>
  <c r="S86" i="331"/>
  <c r="Q86" i="331"/>
  <c r="K86" i="331"/>
  <c r="U85" i="331"/>
  <c r="T85" i="331"/>
  <c r="S85" i="331"/>
  <c r="Q85" i="331"/>
  <c r="K85" i="331"/>
  <c r="U84" i="331"/>
  <c r="T84" i="331"/>
  <c r="S84" i="331"/>
  <c r="Q84" i="331"/>
  <c r="K84" i="331"/>
  <c r="U83" i="331"/>
  <c r="T83" i="331"/>
  <c r="S83" i="331"/>
  <c r="Q83" i="331"/>
  <c r="K83" i="331"/>
  <c r="U82" i="331"/>
  <c r="T82" i="331"/>
  <c r="S82" i="331"/>
  <c r="Q82" i="331"/>
  <c r="K82" i="331"/>
  <c r="AA81" i="331"/>
  <c r="AA86" i="331" s="1"/>
  <c r="AB86" i="331" s="1"/>
  <c r="AC86" i="331" s="1"/>
  <c r="AD86" i="331" s="1"/>
  <c r="AD87" i="331" s="1"/>
  <c r="AD88" i="331" s="1"/>
  <c r="Z81" i="331"/>
  <c r="U81" i="331"/>
  <c r="T81" i="331"/>
  <c r="S81" i="331"/>
  <c r="Q81" i="331"/>
  <c r="K81" i="331"/>
  <c r="AI80" i="331"/>
  <c r="U80" i="331"/>
  <c r="T80" i="331"/>
  <c r="S80" i="331"/>
  <c r="Q80" i="331"/>
  <c r="K80" i="331"/>
  <c r="AI79" i="331"/>
  <c r="U79" i="331"/>
  <c r="T79" i="331"/>
  <c r="S79" i="331"/>
  <c r="Q79" i="331"/>
  <c r="K79" i="331"/>
  <c r="AI78" i="331"/>
  <c r="U78" i="331"/>
  <c r="T78" i="331"/>
  <c r="S78" i="331"/>
  <c r="Q78" i="331"/>
  <c r="K78" i="331"/>
  <c r="U77" i="331"/>
  <c r="T77" i="331"/>
  <c r="S77" i="331"/>
  <c r="Q77" i="331"/>
  <c r="K77" i="331"/>
  <c r="U76" i="331"/>
  <c r="T76" i="331"/>
  <c r="S76" i="331"/>
  <c r="Q76" i="331"/>
  <c r="K76" i="331"/>
  <c r="U75" i="331"/>
  <c r="T75" i="331"/>
  <c r="S75" i="331"/>
  <c r="Q75" i="331"/>
  <c r="K75" i="331"/>
  <c r="U74" i="331"/>
  <c r="T74" i="331"/>
  <c r="S74" i="331"/>
  <c r="Q74" i="331"/>
  <c r="K74" i="331"/>
  <c r="AP73" i="331"/>
  <c r="AQ73" i="331" s="1"/>
  <c r="AD73" i="331"/>
  <c r="AM72" i="331" s="1"/>
  <c r="AN73" i="331" s="1"/>
  <c r="Z73" i="331"/>
  <c r="U73" i="331"/>
  <c r="T73" i="331"/>
  <c r="S73" i="331"/>
  <c r="Q73" i="331"/>
  <c r="K73" i="331"/>
  <c r="Z72" i="331"/>
  <c r="U72" i="331"/>
  <c r="T72" i="331"/>
  <c r="S72" i="331"/>
  <c r="Q72" i="331"/>
  <c r="K72" i="331"/>
  <c r="U71" i="331"/>
  <c r="T71" i="331"/>
  <c r="S71" i="331"/>
  <c r="Q71" i="331"/>
  <c r="K71" i="331"/>
  <c r="U70" i="331"/>
  <c r="T70" i="331"/>
  <c r="S70" i="331"/>
  <c r="Q70" i="331"/>
  <c r="K70" i="331"/>
  <c r="U69" i="331"/>
  <c r="T69" i="331"/>
  <c r="S69" i="331"/>
  <c r="Q69" i="331"/>
  <c r="K69" i="331"/>
  <c r="U68" i="331"/>
  <c r="T68" i="331"/>
  <c r="S68" i="331"/>
  <c r="Q68" i="331"/>
  <c r="K68" i="331"/>
  <c r="AL67" i="331"/>
  <c r="AA67" i="331"/>
  <c r="U67" i="331"/>
  <c r="T67" i="331"/>
  <c r="S67" i="331"/>
  <c r="Q67" i="331"/>
  <c r="K67" i="331"/>
  <c r="U66" i="331"/>
  <c r="T66" i="331"/>
  <c r="S66" i="331"/>
  <c r="Q66" i="331"/>
  <c r="K66" i="331"/>
  <c r="U65" i="331"/>
  <c r="T65" i="331"/>
  <c r="S65" i="331"/>
  <c r="Q65" i="331"/>
  <c r="K65" i="331"/>
  <c r="AL64" i="331"/>
  <c r="U64" i="331"/>
  <c r="T64" i="331"/>
  <c r="S64" i="331"/>
  <c r="Q64" i="331"/>
  <c r="K64" i="331"/>
  <c r="U63" i="331"/>
  <c r="T63" i="331"/>
  <c r="S63" i="331"/>
  <c r="Q63" i="331"/>
  <c r="K63" i="331"/>
  <c r="AC62" i="331"/>
  <c r="U62" i="331"/>
  <c r="T62" i="331"/>
  <c r="S62" i="331"/>
  <c r="Q62" i="331"/>
  <c r="K62" i="331"/>
  <c r="U61" i="331"/>
  <c r="T61" i="331"/>
  <c r="S61" i="331"/>
  <c r="Q61" i="331"/>
  <c r="K61" i="331"/>
  <c r="AL60" i="331"/>
  <c r="U60" i="331"/>
  <c r="T60" i="331"/>
  <c r="S60" i="331"/>
  <c r="Q60" i="331"/>
  <c r="K60" i="331"/>
  <c r="AB59" i="331"/>
  <c r="AA59" i="331"/>
  <c r="AC79" i="331" s="1"/>
  <c r="U59" i="331"/>
  <c r="T59" i="331"/>
  <c r="S59" i="331"/>
  <c r="Q59" i="331"/>
  <c r="K59" i="331"/>
  <c r="AB58" i="331"/>
  <c r="AA58" i="331"/>
  <c r="AC78" i="331" s="1"/>
  <c r="U58" i="331"/>
  <c r="T58" i="331"/>
  <c r="S58" i="331"/>
  <c r="Q58" i="331"/>
  <c r="K58" i="331"/>
  <c r="U57" i="331"/>
  <c r="T57" i="331"/>
  <c r="S57" i="331"/>
  <c r="Q57" i="331"/>
  <c r="K57" i="331"/>
  <c r="U56" i="331"/>
  <c r="T56" i="331"/>
  <c r="S56" i="331"/>
  <c r="Q56" i="331"/>
  <c r="K56" i="331"/>
  <c r="AL55" i="331"/>
  <c r="Y55" i="331"/>
  <c r="U55" i="331"/>
  <c r="S55" i="331"/>
  <c r="Q55" i="331"/>
  <c r="T55" i="331" s="1"/>
  <c r="K55" i="331"/>
  <c r="U54" i="331"/>
  <c r="T54" i="331"/>
  <c r="S54" i="331"/>
  <c r="Q54" i="331"/>
  <c r="K54" i="331"/>
  <c r="AM53" i="331"/>
  <c r="AM55" i="331" s="1"/>
  <c r="Y53" i="331"/>
  <c r="U53" i="331"/>
  <c r="T53" i="331"/>
  <c r="Q53" i="331"/>
  <c r="S53" i="331" s="1"/>
  <c r="K53" i="331"/>
  <c r="U52" i="331"/>
  <c r="T52" i="331"/>
  <c r="S52" i="331"/>
  <c r="Q52" i="331"/>
  <c r="K52" i="331"/>
  <c r="Y51" i="331"/>
  <c r="U51" i="331"/>
  <c r="T51" i="331"/>
  <c r="S51" i="331"/>
  <c r="K51" i="331"/>
  <c r="AB50" i="331"/>
  <c r="U50" i="331"/>
  <c r="T50" i="331"/>
  <c r="S50" i="331"/>
  <c r="Q50" i="331"/>
  <c r="K50" i="331"/>
  <c r="Y49" i="331"/>
  <c r="Z49" i="331" s="1"/>
  <c r="U49" i="331"/>
  <c r="T49" i="331"/>
  <c r="S49" i="331"/>
  <c r="Q49" i="331"/>
  <c r="K49" i="331"/>
  <c r="Y48" i="331"/>
  <c r="Z48" i="331" s="1"/>
  <c r="U48" i="331"/>
  <c r="T48" i="331"/>
  <c r="S48" i="331"/>
  <c r="Q48" i="331"/>
  <c r="K48" i="331"/>
  <c r="U47" i="331"/>
  <c r="T47" i="331"/>
  <c r="S47" i="331"/>
  <c r="Q47" i="331"/>
  <c r="K47" i="331"/>
  <c r="AF46" i="331"/>
  <c r="U46" i="331"/>
  <c r="T46" i="331"/>
  <c r="Q46" i="331"/>
  <c r="S46" i="331" s="1"/>
  <c r="K46" i="331"/>
  <c r="AB45" i="331"/>
  <c r="AA45" i="331"/>
  <c r="U45" i="331"/>
  <c r="T45" i="331"/>
  <c r="S45" i="331"/>
  <c r="Q45" i="331"/>
  <c r="K45" i="331"/>
  <c r="AE44" i="331"/>
  <c r="AE46" i="331" s="1"/>
  <c r="AB44" i="331"/>
  <c r="AA44" i="331"/>
  <c r="U44" i="331"/>
  <c r="T44" i="331"/>
  <c r="S44" i="331"/>
  <c r="Q44" i="331"/>
  <c r="K44" i="331"/>
  <c r="AB43" i="331"/>
  <c r="AA43" i="331"/>
  <c r="U43" i="331"/>
  <c r="T43" i="331"/>
  <c r="S43" i="331"/>
  <c r="Q43" i="331"/>
  <c r="K43" i="331"/>
  <c r="U42" i="331"/>
  <c r="T42" i="331"/>
  <c r="S42" i="331"/>
  <c r="Q42" i="331"/>
  <c r="K42" i="331"/>
  <c r="U41" i="331"/>
  <c r="T41" i="331"/>
  <c r="S41" i="331"/>
  <c r="Q41" i="331"/>
  <c r="K41" i="331"/>
  <c r="U40" i="331"/>
  <c r="T40" i="331"/>
  <c r="S40" i="331"/>
  <c r="K40" i="331"/>
  <c r="AH39" i="331"/>
  <c r="U39" i="331"/>
  <c r="T39" i="331"/>
  <c r="S39" i="331"/>
  <c r="Q39" i="331"/>
  <c r="K39" i="331"/>
  <c r="U38" i="331"/>
  <c r="T38" i="331"/>
  <c r="S38" i="331"/>
  <c r="Q38" i="331"/>
  <c r="K38" i="331"/>
  <c r="U37" i="331"/>
  <c r="T37" i="331"/>
  <c r="S37" i="331"/>
  <c r="Q37" i="331"/>
  <c r="K37" i="331"/>
  <c r="Z36" i="331"/>
  <c r="AA36" i="331" s="1"/>
  <c r="AB36" i="331" s="1"/>
  <c r="U36" i="331"/>
  <c r="T36" i="331"/>
  <c r="S36" i="331"/>
  <c r="Q36" i="331"/>
  <c r="K36" i="331"/>
  <c r="Z35" i="331"/>
  <c r="U35" i="331"/>
  <c r="T35" i="331"/>
  <c r="S35" i="331"/>
  <c r="Q35" i="331"/>
  <c r="K35" i="331"/>
  <c r="AI34" i="331"/>
  <c r="AH34" i="331"/>
  <c r="AC34" i="331"/>
  <c r="AC36" i="331" s="1"/>
  <c r="U34" i="331"/>
  <c r="T34" i="331"/>
  <c r="S34" i="331"/>
  <c r="Q34" i="331"/>
  <c r="K34" i="331"/>
  <c r="U33" i="331"/>
  <c r="T33" i="331"/>
  <c r="S33" i="331"/>
  <c r="Q33" i="331"/>
  <c r="K33" i="331"/>
  <c r="U32" i="331"/>
  <c r="T32" i="331"/>
  <c r="S32" i="331"/>
  <c r="Q32" i="331"/>
  <c r="K32" i="331"/>
  <c r="U31" i="331"/>
  <c r="T31" i="331"/>
  <c r="S31" i="331"/>
  <c r="Q31" i="331"/>
  <c r="K31" i="331"/>
  <c r="Z30" i="331"/>
  <c r="Z10" i="331" s="1"/>
  <c r="U30" i="331"/>
  <c r="T30" i="331"/>
  <c r="S30" i="331"/>
  <c r="Q30" i="331"/>
  <c r="K30" i="331"/>
  <c r="U29" i="331"/>
  <c r="J125" i="331" s="1"/>
  <c r="T29" i="331"/>
  <c r="S29" i="331"/>
  <c r="Q29" i="331"/>
  <c r="K29" i="331"/>
  <c r="AA28" i="331"/>
  <c r="U28" i="331"/>
  <c r="T28" i="331"/>
  <c r="S28" i="331"/>
  <c r="Q28" i="331"/>
  <c r="K28" i="331"/>
  <c r="AC27" i="331"/>
  <c r="AA27" i="331"/>
  <c r="U27" i="331"/>
  <c r="T27" i="331"/>
  <c r="S27" i="331"/>
  <c r="Q27" i="331"/>
  <c r="K27" i="331"/>
  <c r="AC26" i="331"/>
  <c r="AD26" i="331" s="1"/>
  <c r="AD27" i="331" s="1"/>
  <c r="T26" i="331"/>
  <c r="S26" i="331"/>
  <c r="Q26" i="331"/>
  <c r="U26" i="331" s="1"/>
  <c r="K26" i="331"/>
  <c r="AE25" i="331"/>
  <c r="U25" i="331"/>
  <c r="T25" i="331"/>
  <c r="Q25" i="331"/>
  <c r="S25" i="331" s="1"/>
  <c r="K25" i="331"/>
  <c r="U24" i="331"/>
  <c r="T24" i="331"/>
  <c r="S24" i="331"/>
  <c r="Q24" i="331"/>
  <c r="K24" i="331"/>
  <c r="U23" i="331"/>
  <c r="T23" i="331"/>
  <c r="S23" i="331"/>
  <c r="Q23" i="331"/>
  <c r="K23" i="331"/>
  <c r="U22" i="331"/>
  <c r="S22" i="331"/>
  <c r="Q22" i="331"/>
  <c r="T22" i="331" s="1"/>
  <c r="K22" i="331"/>
  <c r="U21" i="331"/>
  <c r="T21" i="331"/>
  <c r="S21" i="331"/>
  <c r="Q21" i="331"/>
  <c r="K21" i="331"/>
  <c r="U20" i="331"/>
  <c r="T20" i="331"/>
  <c r="Q20" i="331"/>
  <c r="S20" i="331" s="1"/>
  <c r="K20" i="331"/>
  <c r="U19" i="331"/>
  <c r="T19" i="331"/>
  <c r="S19" i="331"/>
  <c r="Q19" i="331"/>
  <c r="K19" i="331"/>
  <c r="U18" i="331"/>
  <c r="S18" i="331"/>
  <c r="AB99" i="331" s="1"/>
  <c r="Q18" i="331"/>
  <c r="T18" i="331" s="1"/>
  <c r="K18" i="331"/>
  <c r="U17" i="331"/>
  <c r="Q17" i="331"/>
  <c r="S17" i="331" s="1"/>
  <c r="K17" i="331"/>
  <c r="U16" i="331"/>
  <c r="T16" i="331"/>
  <c r="S16" i="331"/>
  <c r="K16" i="331"/>
  <c r="Z15" i="331"/>
  <c r="U15" i="331"/>
  <c r="T15" i="331"/>
  <c r="Q15" i="331"/>
  <c r="S15" i="331" s="1"/>
  <c r="K15" i="331"/>
  <c r="U14" i="331"/>
  <c r="T14" i="331"/>
  <c r="Q14" i="331"/>
  <c r="S14" i="331" s="1"/>
  <c r="K14" i="331"/>
  <c r="U13" i="331"/>
  <c r="V13" i="331" s="1"/>
  <c r="Q13" i="331"/>
  <c r="K13" i="331"/>
  <c r="AC12" i="331"/>
  <c r="AB12" i="331"/>
  <c r="AA12" i="331"/>
  <c r="U12" i="331"/>
  <c r="T12" i="331"/>
  <c r="Q12" i="331"/>
  <c r="S12" i="331" s="1"/>
  <c r="K12" i="331"/>
  <c r="AH11" i="331"/>
  <c r="AE11" i="331"/>
  <c r="AF11" i="331" s="1"/>
  <c r="AA11" i="331"/>
  <c r="U11" i="331"/>
  <c r="T11" i="331"/>
  <c r="Q11" i="331"/>
  <c r="S11" i="331" s="1"/>
  <c r="K11" i="331"/>
  <c r="AT17" i="331" s="1"/>
  <c r="AU17" i="331" s="1"/>
  <c r="AH10" i="331"/>
  <c r="AA60" i="331" s="1"/>
  <c r="AC80" i="331" s="1"/>
  <c r="AE10" i="331"/>
  <c r="AB10" i="331"/>
  <c r="U10" i="331"/>
  <c r="T10" i="331"/>
  <c r="Q10" i="331"/>
  <c r="S10" i="331" s="1"/>
  <c r="K10" i="331"/>
  <c r="AA9" i="331"/>
  <c r="U9" i="331"/>
  <c r="Q9" i="331"/>
  <c r="T9" i="331" s="1"/>
  <c r="K9" i="331"/>
  <c r="U8" i="331"/>
  <c r="T8" i="331"/>
  <c r="Q8" i="331"/>
  <c r="S8" i="331" s="1"/>
  <c r="K8" i="331"/>
  <c r="Z7" i="331"/>
  <c r="U7" i="331"/>
  <c r="Q7" i="331"/>
  <c r="S7" i="331" s="1"/>
  <c r="I7" i="331"/>
  <c r="H7" i="331"/>
  <c r="Z6" i="331"/>
  <c r="U6" i="331"/>
  <c r="T6" i="331"/>
  <c r="Q6" i="331"/>
  <c r="S6" i="331" s="1"/>
  <c r="K6" i="331"/>
  <c r="AM5" i="331"/>
  <c r="AM6" i="331" s="1"/>
  <c r="AM8" i="331" s="1"/>
  <c r="AL5" i="331"/>
  <c r="AL6" i="331" s="1"/>
  <c r="AL8" i="331" s="1"/>
  <c r="AK5" i="331"/>
  <c r="AK6" i="331" s="1"/>
  <c r="AK8" i="331" s="1"/>
  <c r="AJ5" i="331"/>
  <c r="AJ6" i="331" s="1"/>
  <c r="AJ8" i="331" s="1"/>
  <c r="U5" i="331"/>
  <c r="S5" i="331"/>
  <c r="Q5" i="331"/>
  <c r="T5" i="331" s="1"/>
  <c r="K5" i="331"/>
  <c r="U4" i="331"/>
  <c r="S4" i="331"/>
  <c r="Q4" i="331"/>
  <c r="T4" i="331" s="1"/>
  <c r="K4" i="331"/>
  <c r="AO3" i="331"/>
  <c r="AE3" i="331"/>
  <c r="U3" i="331"/>
  <c r="S3" i="331"/>
  <c r="Q3" i="331"/>
  <c r="T3" i="331" s="1"/>
  <c r="K3" i="331"/>
  <c r="U2" i="331"/>
  <c r="T2" i="331"/>
  <c r="Q2" i="331"/>
  <c r="S2" i="331" s="1"/>
  <c r="K2" i="331"/>
  <c r="AD62" i="333" l="1"/>
  <c r="AD61" i="333"/>
  <c r="X2" i="333"/>
  <c r="AG5" i="333"/>
  <c r="AK75" i="333"/>
  <c r="AD81" i="333"/>
  <c r="AF5" i="333"/>
  <c r="AB81" i="333"/>
  <c r="X3" i="333"/>
  <c r="W4" i="333"/>
  <c r="AF78" i="333"/>
  <c r="AE81" i="333"/>
  <c r="AF79" i="333"/>
  <c r="Z5" i="333"/>
  <c r="O93" i="332"/>
  <c r="V18" i="332"/>
  <c r="O2" i="332"/>
  <c r="O7" i="332"/>
  <c r="O11" i="332"/>
  <c r="O17" i="332"/>
  <c r="O24" i="332"/>
  <c r="O15" i="332"/>
  <c r="O67" i="332"/>
  <c r="O19" i="332"/>
  <c r="O6" i="332"/>
  <c r="O20" i="332"/>
  <c r="O28" i="332"/>
  <c r="O8" i="332"/>
  <c r="O16" i="332"/>
  <c r="O43" i="332"/>
  <c r="O4" i="332"/>
  <c r="O27" i="332"/>
  <c r="O10" i="332"/>
  <c r="O29" i="332"/>
  <c r="AB92" i="332"/>
  <c r="O25" i="332"/>
  <c r="O9" i="332"/>
  <c r="O5" i="332"/>
  <c r="O22" i="332"/>
  <c r="O14" i="332"/>
  <c r="O3" i="332"/>
  <c r="O12" i="332"/>
  <c r="O80" i="332"/>
  <c r="O74" i="332"/>
  <c r="O63" i="332"/>
  <c r="AB100" i="332"/>
  <c r="O53" i="332"/>
  <c r="AB95" i="332"/>
  <c r="O37" i="332"/>
  <c r="V9" i="332"/>
  <c r="O13" i="332"/>
  <c r="AA69" i="332"/>
  <c r="O83" i="332"/>
  <c r="O69" i="332"/>
  <c r="O59" i="332"/>
  <c r="O47" i="332"/>
  <c r="O41" i="332"/>
  <c r="S105" i="332"/>
  <c r="AC37" i="332"/>
  <c r="AE35" i="332"/>
  <c r="AE37" i="332" s="1"/>
  <c r="O102" i="332"/>
  <c r="O100" i="332"/>
  <c r="O94" i="332"/>
  <c r="O101" i="332"/>
  <c r="O97" i="332"/>
  <c r="O95" i="332"/>
  <c r="O96" i="332"/>
  <c r="O99" i="332"/>
  <c r="O98" i="332"/>
  <c r="O103" i="332"/>
  <c r="Z60" i="332"/>
  <c r="AF10" i="332"/>
  <c r="AF9" i="332" s="1"/>
  <c r="AA35" i="332"/>
  <c r="AD28" i="332"/>
  <c r="AD5" i="332"/>
  <c r="AA34" i="332" s="1"/>
  <c r="AB34" i="332" s="1"/>
  <c r="O86" i="332"/>
  <c r="O87" i="332"/>
  <c r="O92" i="332"/>
  <c r="O89" i="332"/>
  <c r="Z14" i="332"/>
  <c r="AA10" i="332"/>
  <c r="O56" i="332"/>
  <c r="O36" i="332"/>
  <c r="O39" i="332"/>
  <c r="O54" i="332"/>
  <c r="O42" i="332"/>
  <c r="O31" i="332"/>
  <c r="O45" i="332"/>
  <c r="O33" i="332"/>
  <c r="O30" i="332"/>
  <c r="O90" i="332"/>
  <c r="O81" i="332"/>
  <c r="O84" i="332"/>
  <c r="O85" i="332"/>
  <c r="O32" i="332"/>
  <c r="O75" i="332"/>
  <c r="O73" i="332"/>
  <c r="O72" i="332"/>
  <c r="O71" i="332"/>
  <c r="O70" i="332"/>
  <c r="O57" i="332"/>
  <c r="O66" i="332"/>
  <c r="O64" i="332"/>
  <c r="O78" i="332"/>
  <c r="O61" i="332"/>
  <c r="O77" i="332"/>
  <c r="O76" i="332"/>
  <c r="O68" i="332"/>
  <c r="O60" i="332"/>
  <c r="O58" i="332"/>
  <c r="O79" i="332"/>
  <c r="O62" i="332"/>
  <c r="O55" i="332"/>
  <c r="T105" i="332"/>
  <c r="O91" i="332"/>
  <c r="N105" i="332"/>
  <c r="O49" i="332"/>
  <c r="O34" i="332"/>
  <c r="O46" i="332"/>
  <c r="O35" i="332"/>
  <c r="O38" i="332"/>
  <c r="AB97" i="332"/>
  <c r="O44" i="332"/>
  <c r="V59" i="331"/>
  <c r="AT7" i="331"/>
  <c r="AU7" i="331" s="1"/>
  <c r="J143" i="331"/>
  <c r="AT14" i="331"/>
  <c r="AU14" i="331" s="1"/>
  <c r="V46" i="331"/>
  <c r="V95" i="331"/>
  <c r="AT11" i="331"/>
  <c r="AU11" i="331" s="1"/>
  <c r="AT15" i="331"/>
  <c r="AU15" i="331" s="1"/>
  <c r="AC45" i="331"/>
  <c r="V57" i="331"/>
  <c r="V75" i="331"/>
  <c r="V90" i="331"/>
  <c r="AT22" i="331"/>
  <c r="AU22" i="331" s="1"/>
  <c r="AC43" i="331"/>
  <c r="J110" i="331"/>
  <c r="S9" i="331"/>
  <c r="AB97" i="331" s="1"/>
  <c r="V62" i="331"/>
  <c r="V64" i="331"/>
  <c r="J141" i="331"/>
  <c r="V41" i="331"/>
  <c r="V42" i="331"/>
  <c r="V68" i="331"/>
  <c r="V101" i="331"/>
  <c r="K129" i="331"/>
  <c r="AT9" i="331"/>
  <c r="AU9" i="331" s="1"/>
  <c r="V97" i="331"/>
  <c r="I145" i="331"/>
  <c r="V34" i="331"/>
  <c r="V38" i="331"/>
  <c r="AT12" i="331"/>
  <c r="AU12" i="331" s="1"/>
  <c r="V28" i="331"/>
  <c r="V35" i="331"/>
  <c r="V44" i="331"/>
  <c r="V45" i="331"/>
  <c r="V66" i="331"/>
  <c r="V71" i="331"/>
  <c r="V78" i="331"/>
  <c r="V92" i="331"/>
  <c r="K122" i="331"/>
  <c r="K148" i="331" s="1"/>
  <c r="K134" i="331"/>
  <c r="V82" i="331"/>
  <c r="V86" i="331"/>
  <c r="J111" i="331"/>
  <c r="AT5" i="331"/>
  <c r="AU5" i="331" s="1"/>
  <c r="AT4" i="331"/>
  <c r="AU4" i="331" s="1"/>
  <c r="V30" i="331"/>
  <c r="V32" i="331"/>
  <c r="V33" i="331"/>
  <c r="Z37" i="331"/>
  <c r="V36" i="331"/>
  <c r="V51" i="331"/>
  <c r="V52" i="331"/>
  <c r="V69" i="331"/>
  <c r="V76" i="331"/>
  <c r="V79" i="331"/>
  <c r="V81" i="331"/>
  <c r="V96" i="331"/>
  <c r="V103" i="331"/>
  <c r="J147" i="331"/>
  <c r="K130" i="331"/>
  <c r="V23" i="331"/>
  <c r="V53" i="331"/>
  <c r="V63" i="331"/>
  <c r="V84" i="331"/>
  <c r="X84" i="331" s="1"/>
  <c r="V91" i="331"/>
  <c r="V16" i="331"/>
  <c r="AE26" i="331"/>
  <c r="AE27" i="331" s="1"/>
  <c r="V29" i="331"/>
  <c r="V31" i="331"/>
  <c r="AD34" i="331"/>
  <c r="AD35" i="331" s="1"/>
  <c r="V37" i="331"/>
  <c r="AC44" i="331"/>
  <c r="V49" i="331"/>
  <c r="N50" i="331"/>
  <c r="V58" i="331"/>
  <c r="V72" i="331"/>
  <c r="V87" i="331"/>
  <c r="V88" i="331"/>
  <c r="V89" i="331"/>
  <c r="V94" i="331"/>
  <c r="V100" i="331"/>
  <c r="V102" i="331"/>
  <c r="J119" i="331"/>
  <c r="J145" i="331" s="1"/>
  <c r="K132" i="331"/>
  <c r="I147" i="331"/>
  <c r="AB47" i="331"/>
  <c r="AB107" i="331"/>
  <c r="V70" i="331"/>
  <c r="V74" i="331"/>
  <c r="V77" i="331"/>
  <c r="I143" i="331"/>
  <c r="AT8" i="331"/>
  <c r="AU8" i="331" s="1"/>
  <c r="AT19" i="331"/>
  <c r="AU19" i="331" s="1"/>
  <c r="V39" i="331"/>
  <c r="V80" i="331"/>
  <c r="V99" i="331"/>
  <c r="V8" i="331"/>
  <c r="V14" i="331"/>
  <c r="AB98" i="331"/>
  <c r="V3" i="331"/>
  <c r="V21" i="331"/>
  <c r="V26" i="331"/>
  <c r="V4" i="331"/>
  <c r="AB93" i="331"/>
  <c r="U105" i="331"/>
  <c r="AD4" i="331" s="1"/>
  <c r="AA35" i="331" s="1"/>
  <c r="V22" i="331"/>
  <c r="V5" i="331"/>
  <c r="V9" i="331"/>
  <c r="V15" i="331"/>
  <c r="V19" i="331"/>
  <c r="V20" i="331"/>
  <c r="V24" i="331"/>
  <c r="V25" i="331"/>
  <c r="AA62" i="331"/>
  <c r="AB94" i="331"/>
  <c r="V18" i="331"/>
  <c r="V2" i="331"/>
  <c r="I120" i="331"/>
  <c r="AA92" i="331"/>
  <c r="K7" i="331"/>
  <c r="K105" i="331" s="1"/>
  <c r="I105" i="331"/>
  <c r="AB42" i="331"/>
  <c r="N56" i="331"/>
  <c r="O63" i="331" s="1"/>
  <c r="N81" i="331"/>
  <c r="O81" i="331" s="1"/>
  <c r="AT6" i="331"/>
  <c r="AU6" i="331" s="1"/>
  <c r="Z16" i="331"/>
  <c r="AA16" i="331" s="1"/>
  <c r="AA15" i="331"/>
  <c r="V10" i="331"/>
  <c r="Z14" i="331"/>
  <c r="AA10" i="331"/>
  <c r="V6" i="331"/>
  <c r="T7" i="331"/>
  <c r="AB92" i="331" s="1"/>
  <c r="AT16" i="331"/>
  <c r="AU16" i="331" s="1"/>
  <c r="AC58" i="331"/>
  <c r="AC61" i="331"/>
  <c r="AA68" i="331" s="1"/>
  <c r="V11" i="331"/>
  <c r="V12" i="331"/>
  <c r="T17" i="331"/>
  <c r="V17" i="331" s="1"/>
  <c r="N27" i="331"/>
  <c r="O44" i="331" s="1"/>
  <c r="V27" i="331"/>
  <c r="J151" i="331"/>
  <c r="K151" i="331" s="1"/>
  <c r="K125" i="331"/>
  <c r="V40" i="331"/>
  <c r="V43" i="331"/>
  <c r="V47" i="331"/>
  <c r="V48" i="331"/>
  <c r="V50" i="331"/>
  <c r="V54" i="331"/>
  <c r="AB61" i="331"/>
  <c r="AB62" i="331"/>
  <c r="V83" i="331"/>
  <c r="V85" i="331"/>
  <c r="Q105" i="331"/>
  <c r="H105" i="331"/>
  <c r="I115" i="331"/>
  <c r="AA97" i="331"/>
  <c r="AA42" i="331"/>
  <c r="AH12" i="331"/>
  <c r="AT13" i="331"/>
  <c r="AU13" i="331" s="1"/>
  <c r="AT18" i="331"/>
  <c r="AU18" i="331" s="1"/>
  <c r="AC35" i="331"/>
  <c r="V55" i="331"/>
  <c r="V60" i="331"/>
  <c r="V61" i="331"/>
  <c r="AN74" i="331"/>
  <c r="AO73" i="331"/>
  <c r="AB100" i="331"/>
  <c r="AC81" i="331"/>
  <c r="I150" i="331"/>
  <c r="J124" i="331"/>
  <c r="J150" i="331" s="1"/>
  <c r="AA61" i="331"/>
  <c r="V67" i="331"/>
  <c r="N85" i="331"/>
  <c r="O92" i="331" s="1"/>
  <c r="V93" i="331"/>
  <c r="N94" i="331"/>
  <c r="K117" i="331"/>
  <c r="K121" i="331"/>
  <c r="V56" i="331"/>
  <c r="V65" i="331"/>
  <c r="V73" i="331"/>
  <c r="V98" i="331"/>
  <c r="I142" i="331"/>
  <c r="J116" i="331"/>
  <c r="I144" i="331"/>
  <c r="J118" i="331"/>
  <c r="I148" i="331"/>
  <c r="J149" i="331"/>
  <c r="K123" i="331"/>
  <c r="K128" i="331"/>
  <c r="K136" i="331"/>
  <c r="I7" i="330"/>
  <c r="H7" i="330"/>
  <c r="Z9" i="330"/>
  <c r="P170" i="330"/>
  <c r="I170" i="330"/>
  <c r="Q169" i="330"/>
  <c r="R169" i="330" s="1"/>
  <c r="Q168" i="330"/>
  <c r="R168" i="330" s="1"/>
  <c r="J168" i="330"/>
  <c r="K168" i="330" s="1"/>
  <c r="Q167" i="330"/>
  <c r="R167" i="330" s="1"/>
  <c r="J167" i="330"/>
  <c r="K167" i="330" s="1"/>
  <c r="Q162" i="330"/>
  <c r="I162" i="330"/>
  <c r="R160" i="330"/>
  <c r="T160" i="330" s="1"/>
  <c r="J160" i="330"/>
  <c r="L160" i="330" s="1"/>
  <c r="R159" i="330"/>
  <c r="T159" i="330" s="1"/>
  <c r="J159" i="330"/>
  <c r="L159" i="330" s="1"/>
  <c r="R158" i="330"/>
  <c r="T158" i="330" s="1"/>
  <c r="J158" i="330"/>
  <c r="L158" i="330" s="1"/>
  <c r="I149" i="330"/>
  <c r="J138" i="330"/>
  <c r="I138" i="330"/>
  <c r="K138" i="330" s="1"/>
  <c r="J137" i="330"/>
  <c r="I137" i="330"/>
  <c r="J136" i="330"/>
  <c r="K136" i="330" s="1"/>
  <c r="I136" i="330"/>
  <c r="J135" i="330"/>
  <c r="I135" i="330"/>
  <c r="J134" i="330"/>
  <c r="I134" i="330"/>
  <c r="J133" i="330"/>
  <c r="I133" i="330"/>
  <c r="J132" i="330"/>
  <c r="I132" i="330"/>
  <c r="K131" i="330"/>
  <c r="J131" i="330"/>
  <c r="I131" i="330"/>
  <c r="J130" i="330"/>
  <c r="I130" i="330"/>
  <c r="J129" i="330"/>
  <c r="I129" i="330"/>
  <c r="J128" i="330"/>
  <c r="I128" i="330"/>
  <c r="I125" i="330"/>
  <c r="I151" i="330" s="1"/>
  <c r="I124" i="330"/>
  <c r="J123" i="330"/>
  <c r="I123" i="330"/>
  <c r="J122" i="330"/>
  <c r="I122" i="330"/>
  <c r="I121" i="330"/>
  <c r="J121" i="330" s="1"/>
  <c r="I119" i="330"/>
  <c r="I118" i="330"/>
  <c r="I117" i="330"/>
  <c r="I116" i="330"/>
  <c r="AC115" i="330"/>
  <c r="J115" i="330"/>
  <c r="B115" i="330"/>
  <c r="I111" i="330"/>
  <c r="J108" i="330" s="1"/>
  <c r="P106" i="330"/>
  <c r="R105" i="330"/>
  <c r="P105" i="330"/>
  <c r="M105" i="330"/>
  <c r="J105" i="330"/>
  <c r="B105" i="330"/>
  <c r="U103" i="330"/>
  <c r="T103" i="330"/>
  <c r="S103" i="330"/>
  <c r="Q103" i="330"/>
  <c r="K103" i="330"/>
  <c r="U102" i="330"/>
  <c r="T102" i="330"/>
  <c r="S102" i="330"/>
  <c r="Q102" i="330"/>
  <c r="K102" i="330"/>
  <c r="U101" i="330"/>
  <c r="T101" i="330"/>
  <c r="S101" i="330"/>
  <c r="Q101" i="330"/>
  <c r="K101" i="330"/>
  <c r="U100" i="330"/>
  <c r="T100" i="330"/>
  <c r="S100" i="330"/>
  <c r="Q100" i="330"/>
  <c r="K100" i="330"/>
  <c r="U99" i="330"/>
  <c r="T99" i="330"/>
  <c r="S99" i="330"/>
  <c r="Q99" i="330"/>
  <c r="K99" i="330"/>
  <c r="U98" i="330"/>
  <c r="T98" i="330"/>
  <c r="S98" i="330"/>
  <c r="Q98" i="330"/>
  <c r="K98" i="330"/>
  <c r="U97" i="330"/>
  <c r="T97" i="330"/>
  <c r="S97" i="330"/>
  <c r="Q97" i="330"/>
  <c r="K97" i="330"/>
  <c r="U96" i="330"/>
  <c r="T96" i="330"/>
  <c r="S96" i="330"/>
  <c r="Q96" i="330"/>
  <c r="K96" i="330"/>
  <c r="U95" i="330"/>
  <c r="T95" i="330"/>
  <c r="S95" i="330"/>
  <c r="Q95" i="330"/>
  <c r="K95" i="330"/>
  <c r="U94" i="330"/>
  <c r="T94" i="330"/>
  <c r="S94" i="330"/>
  <c r="Q94" i="330"/>
  <c r="K94" i="330"/>
  <c r="U93" i="330"/>
  <c r="T93" i="330"/>
  <c r="S93" i="330"/>
  <c r="Q93" i="330"/>
  <c r="K93" i="330"/>
  <c r="U92" i="330"/>
  <c r="T92" i="330"/>
  <c r="S92" i="330"/>
  <c r="Q92" i="330"/>
  <c r="K92" i="330"/>
  <c r="U91" i="330"/>
  <c r="T91" i="330"/>
  <c r="S91" i="330"/>
  <c r="Q91" i="330"/>
  <c r="K91" i="330"/>
  <c r="U90" i="330"/>
  <c r="T90" i="330"/>
  <c r="S90" i="330"/>
  <c r="Q90" i="330"/>
  <c r="K90" i="330"/>
  <c r="U89" i="330"/>
  <c r="T89" i="330"/>
  <c r="S89" i="330"/>
  <c r="Q89" i="330"/>
  <c r="K89" i="330"/>
  <c r="U88" i="330"/>
  <c r="T88" i="330"/>
  <c r="S88" i="330"/>
  <c r="Q88" i="330"/>
  <c r="K88" i="330"/>
  <c r="AE87" i="330"/>
  <c r="AA87" i="330"/>
  <c r="Y87" i="330"/>
  <c r="U87" i="330"/>
  <c r="T87" i="330"/>
  <c r="S87" i="330"/>
  <c r="Q87" i="330"/>
  <c r="K87" i="330"/>
  <c r="AF86" i="330"/>
  <c r="AG86" i="330" s="1"/>
  <c r="AH86" i="330" s="1"/>
  <c r="AH87" i="330" s="1"/>
  <c r="AH88" i="330" s="1"/>
  <c r="U86" i="330"/>
  <c r="T86" i="330"/>
  <c r="S86" i="330"/>
  <c r="Q86" i="330"/>
  <c r="K86" i="330"/>
  <c r="U85" i="330"/>
  <c r="T85" i="330"/>
  <c r="S85" i="330"/>
  <c r="Q85" i="330"/>
  <c r="K85" i="330"/>
  <c r="U84" i="330"/>
  <c r="T84" i="330"/>
  <c r="S84" i="330"/>
  <c r="Q84" i="330"/>
  <c r="K84" i="330"/>
  <c r="U83" i="330"/>
  <c r="T83" i="330"/>
  <c r="S83" i="330"/>
  <c r="Q83" i="330"/>
  <c r="K83" i="330"/>
  <c r="U82" i="330"/>
  <c r="T82" i="330"/>
  <c r="S82" i="330"/>
  <c r="Q82" i="330"/>
  <c r="K82" i="330"/>
  <c r="AA81" i="330"/>
  <c r="AA86" i="330" s="1"/>
  <c r="AB86" i="330" s="1"/>
  <c r="AC86" i="330" s="1"/>
  <c r="AD86" i="330" s="1"/>
  <c r="AD87" i="330" s="1"/>
  <c r="AD88" i="330" s="1"/>
  <c r="Z81" i="330"/>
  <c r="U81" i="330"/>
  <c r="T81" i="330"/>
  <c r="S81" i="330"/>
  <c r="Q81" i="330"/>
  <c r="K81" i="330"/>
  <c r="AI80" i="330"/>
  <c r="U80" i="330"/>
  <c r="T80" i="330"/>
  <c r="S80" i="330"/>
  <c r="Q80" i="330"/>
  <c r="K80" i="330"/>
  <c r="AI79" i="330"/>
  <c r="AA79" i="330"/>
  <c r="U79" i="330"/>
  <c r="T79" i="330"/>
  <c r="S79" i="330"/>
  <c r="Q79" i="330"/>
  <c r="K79" i="330"/>
  <c r="AI78" i="330"/>
  <c r="U78" i="330"/>
  <c r="T78" i="330"/>
  <c r="S78" i="330"/>
  <c r="Q78" i="330"/>
  <c r="K78" i="330"/>
  <c r="U77" i="330"/>
  <c r="T77" i="330"/>
  <c r="S77" i="330"/>
  <c r="Q77" i="330"/>
  <c r="K77" i="330"/>
  <c r="U76" i="330"/>
  <c r="T76" i="330"/>
  <c r="S76" i="330"/>
  <c r="Q76" i="330"/>
  <c r="K76" i="330"/>
  <c r="U75" i="330"/>
  <c r="T75" i="330"/>
  <c r="S75" i="330"/>
  <c r="Q75" i="330"/>
  <c r="K75" i="330"/>
  <c r="U74" i="330"/>
  <c r="T74" i="330"/>
  <c r="S74" i="330"/>
  <c r="Q74" i="330"/>
  <c r="K74" i="330"/>
  <c r="AP73" i="330"/>
  <c r="AQ73" i="330" s="1"/>
  <c r="AD73" i="330"/>
  <c r="AM72" i="330" s="1"/>
  <c r="AN73" i="330" s="1"/>
  <c r="Z73" i="330"/>
  <c r="U73" i="330"/>
  <c r="T73" i="330"/>
  <c r="S73" i="330"/>
  <c r="Q73" i="330"/>
  <c r="K73" i="330"/>
  <c r="Z72" i="330"/>
  <c r="U72" i="330"/>
  <c r="T72" i="330"/>
  <c r="S72" i="330"/>
  <c r="Q72" i="330"/>
  <c r="K72" i="330"/>
  <c r="U71" i="330"/>
  <c r="T71" i="330"/>
  <c r="S71" i="330"/>
  <c r="Q71" i="330"/>
  <c r="K71" i="330"/>
  <c r="U70" i="330"/>
  <c r="T70" i="330"/>
  <c r="S70" i="330"/>
  <c r="Q70" i="330"/>
  <c r="K70" i="330"/>
  <c r="U69" i="330"/>
  <c r="T69" i="330"/>
  <c r="S69" i="330"/>
  <c r="Q69" i="330"/>
  <c r="K69" i="330"/>
  <c r="U68" i="330"/>
  <c r="T68" i="330"/>
  <c r="S68" i="330"/>
  <c r="Q68" i="330"/>
  <c r="K68" i="330"/>
  <c r="AL67" i="330"/>
  <c r="AA67" i="330"/>
  <c r="U67" i="330"/>
  <c r="T67" i="330"/>
  <c r="S67" i="330"/>
  <c r="Q67" i="330"/>
  <c r="K67" i="330"/>
  <c r="AF66" i="330"/>
  <c r="U66" i="330"/>
  <c r="T66" i="330"/>
  <c r="S66" i="330"/>
  <c r="Q66" i="330"/>
  <c r="K66" i="330"/>
  <c r="AF65" i="330"/>
  <c r="U65" i="330"/>
  <c r="T65" i="330"/>
  <c r="S65" i="330"/>
  <c r="Q65" i="330"/>
  <c r="K65" i="330"/>
  <c r="AL64" i="330"/>
  <c r="U64" i="330"/>
  <c r="T64" i="330"/>
  <c r="S64" i="330"/>
  <c r="Q64" i="330"/>
  <c r="K64" i="330"/>
  <c r="U63" i="330"/>
  <c r="T63" i="330"/>
  <c r="S63" i="330"/>
  <c r="Q63" i="330"/>
  <c r="K63" i="330"/>
  <c r="AC62" i="330"/>
  <c r="U62" i="330"/>
  <c r="T62" i="330"/>
  <c r="S62" i="330"/>
  <c r="Q62" i="330"/>
  <c r="K62" i="330"/>
  <c r="U61" i="330"/>
  <c r="T61" i="330"/>
  <c r="S61" i="330"/>
  <c r="Q61" i="330"/>
  <c r="K61" i="330"/>
  <c r="AL60" i="330"/>
  <c r="U60" i="330"/>
  <c r="T60" i="330"/>
  <c r="S60" i="330"/>
  <c r="Q60" i="330"/>
  <c r="K60" i="330"/>
  <c r="AH59" i="330"/>
  <c r="AG59" i="330"/>
  <c r="AI59" i="330" s="1"/>
  <c r="AE59" i="330"/>
  <c r="AE61" i="330" s="1"/>
  <c r="AB59" i="330"/>
  <c r="AA59" i="330"/>
  <c r="AC79" i="330" s="1"/>
  <c r="U59" i="330"/>
  <c r="T59" i="330"/>
  <c r="S59" i="330"/>
  <c r="Q59" i="330"/>
  <c r="K59" i="330"/>
  <c r="AB58" i="330"/>
  <c r="AA58" i="330"/>
  <c r="U58" i="330"/>
  <c r="T58" i="330"/>
  <c r="S58" i="330"/>
  <c r="Q58" i="330"/>
  <c r="K58" i="330"/>
  <c r="U57" i="330"/>
  <c r="T57" i="330"/>
  <c r="S57" i="330"/>
  <c r="Q57" i="330"/>
  <c r="K57" i="330"/>
  <c r="U56" i="330"/>
  <c r="T56" i="330"/>
  <c r="S56" i="330"/>
  <c r="Q56" i="330"/>
  <c r="K56" i="330"/>
  <c r="AL55" i="330"/>
  <c r="Y55" i="330"/>
  <c r="U55" i="330"/>
  <c r="S55" i="330"/>
  <c r="Q55" i="330"/>
  <c r="T55" i="330" s="1"/>
  <c r="K55" i="330"/>
  <c r="U54" i="330"/>
  <c r="T54" i="330"/>
  <c r="S54" i="330"/>
  <c r="Q54" i="330"/>
  <c r="K54" i="330"/>
  <c r="AM53" i="330"/>
  <c r="AM55" i="330" s="1"/>
  <c r="Y53" i="330"/>
  <c r="U53" i="330"/>
  <c r="T53" i="330"/>
  <c r="Q53" i="330"/>
  <c r="S53" i="330" s="1"/>
  <c r="K53" i="330"/>
  <c r="U52" i="330"/>
  <c r="T52" i="330"/>
  <c r="S52" i="330"/>
  <c r="Q52" i="330"/>
  <c r="K52" i="330"/>
  <c r="Y51" i="330"/>
  <c r="U51" i="330"/>
  <c r="T51" i="330"/>
  <c r="S51" i="330"/>
  <c r="K51" i="330"/>
  <c r="AB50" i="330"/>
  <c r="U50" i="330"/>
  <c r="T50" i="330"/>
  <c r="S50" i="330"/>
  <c r="Q50" i="330"/>
  <c r="K50" i="330"/>
  <c r="Y49" i="330"/>
  <c r="Z49" i="330" s="1"/>
  <c r="U49" i="330"/>
  <c r="T49" i="330"/>
  <c r="S49" i="330"/>
  <c r="Q49" i="330"/>
  <c r="K49" i="330"/>
  <c r="Y48" i="330"/>
  <c r="Z48" i="330" s="1"/>
  <c r="U48" i="330"/>
  <c r="T48" i="330"/>
  <c r="S48" i="330"/>
  <c r="Q48" i="330"/>
  <c r="K48" i="330"/>
  <c r="U47" i="330"/>
  <c r="T47" i="330"/>
  <c r="S47" i="330"/>
  <c r="Q47" i="330"/>
  <c r="K47" i="330"/>
  <c r="AF46" i="330"/>
  <c r="U46" i="330"/>
  <c r="T46" i="330"/>
  <c r="Q46" i="330"/>
  <c r="S46" i="330" s="1"/>
  <c r="K46" i="330"/>
  <c r="AB45" i="330"/>
  <c r="AA45" i="330"/>
  <c r="U45" i="330"/>
  <c r="T45" i="330"/>
  <c r="S45" i="330"/>
  <c r="Q45" i="330"/>
  <c r="K45" i="330"/>
  <c r="AE44" i="330"/>
  <c r="AE46" i="330" s="1"/>
  <c r="AB44" i="330"/>
  <c r="AA44" i="330"/>
  <c r="U44" i="330"/>
  <c r="T44" i="330"/>
  <c r="S44" i="330"/>
  <c r="Q44" i="330"/>
  <c r="K44" i="330"/>
  <c r="AB43" i="330"/>
  <c r="AA43" i="330"/>
  <c r="U43" i="330"/>
  <c r="T43" i="330"/>
  <c r="S43" i="330"/>
  <c r="Q43" i="330"/>
  <c r="K43" i="330"/>
  <c r="U42" i="330"/>
  <c r="T42" i="330"/>
  <c r="S42" i="330"/>
  <c r="Q42" i="330"/>
  <c r="K42" i="330"/>
  <c r="U41" i="330"/>
  <c r="T41" i="330"/>
  <c r="S41" i="330"/>
  <c r="Q41" i="330"/>
  <c r="K41" i="330"/>
  <c r="U40" i="330"/>
  <c r="T40" i="330"/>
  <c r="S40" i="330"/>
  <c r="K40" i="330"/>
  <c r="AH39" i="330"/>
  <c r="U39" i="330"/>
  <c r="T39" i="330"/>
  <c r="S39" i="330"/>
  <c r="Q39" i="330"/>
  <c r="K39" i="330"/>
  <c r="U38" i="330"/>
  <c r="T38" i="330"/>
  <c r="S38" i="330"/>
  <c r="Q38" i="330"/>
  <c r="K38" i="330"/>
  <c r="U37" i="330"/>
  <c r="T37" i="330"/>
  <c r="S37" i="330"/>
  <c r="Q37" i="330"/>
  <c r="K37" i="330"/>
  <c r="Z36" i="330"/>
  <c r="U36" i="330"/>
  <c r="T36" i="330"/>
  <c r="S36" i="330"/>
  <c r="Q36" i="330"/>
  <c r="K36" i="330"/>
  <c r="Z35" i="330"/>
  <c r="U35" i="330"/>
  <c r="T35" i="330"/>
  <c r="S35" i="330"/>
  <c r="Q35" i="330"/>
  <c r="K35" i="330"/>
  <c r="AI34" i="330"/>
  <c r="AH34" i="330"/>
  <c r="AC34" i="330"/>
  <c r="AC36" i="330" s="1"/>
  <c r="U34" i="330"/>
  <c r="T34" i="330"/>
  <c r="S34" i="330"/>
  <c r="Q34" i="330"/>
  <c r="K34" i="330"/>
  <c r="U33" i="330"/>
  <c r="T33" i="330"/>
  <c r="S33" i="330"/>
  <c r="Q33" i="330"/>
  <c r="K33" i="330"/>
  <c r="U32" i="330"/>
  <c r="T32" i="330"/>
  <c r="S32" i="330"/>
  <c r="Q32" i="330"/>
  <c r="K32" i="330"/>
  <c r="U31" i="330"/>
  <c r="T31" i="330"/>
  <c r="S31" i="330"/>
  <c r="Q31" i="330"/>
  <c r="K31" i="330"/>
  <c r="Z30" i="330"/>
  <c r="U30" i="330"/>
  <c r="T30" i="330"/>
  <c r="S30" i="330"/>
  <c r="Q30" i="330"/>
  <c r="K30" i="330"/>
  <c r="U29" i="330"/>
  <c r="J125" i="330" s="1"/>
  <c r="T29" i="330"/>
  <c r="S29" i="330"/>
  <c r="Q29" i="330"/>
  <c r="K29" i="330"/>
  <c r="AA28" i="330"/>
  <c r="U28" i="330"/>
  <c r="T28" i="330"/>
  <c r="S28" i="330"/>
  <c r="Q28" i="330"/>
  <c r="K28" i="330"/>
  <c r="AC27" i="330"/>
  <c r="AA27" i="330"/>
  <c r="U27" i="330"/>
  <c r="T27" i="330"/>
  <c r="S27" i="330"/>
  <c r="Q27" i="330"/>
  <c r="K27" i="330"/>
  <c r="AC26" i="330"/>
  <c r="AE26" i="330" s="1"/>
  <c r="T26" i="330"/>
  <c r="S26" i="330"/>
  <c r="Q26" i="330"/>
  <c r="U26" i="330" s="1"/>
  <c r="K26" i="330"/>
  <c r="AE25" i="330"/>
  <c r="U25" i="330"/>
  <c r="T25" i="330"/>
  <c r="Q25" i="330"/>
  <c r="S25" i="330" s="1"/>
  <c r="K25" i="330"/>
  <c r="U24" i="330"/>
  <c r="T24" i="330"/>
  <c r="S24" i="330"/>
  <c r="Q24" i="330"/>
  <c r="K24" i="330"/>
  <c r="U23" i="330"/>
  <c r="T23" i="330"/>
  <c r="S23" i="330"/>
  <c r="Q23" i="330"/>
  <c r="K23" i="330"/>
  <c r="U22" i="330"/>
  <c r="T22" i="330"/>
  <c r="Q22" i="330"/>
  <c r="S22" i="330" s="1"/>
  <c r="K22" i="330"/>
  <c r="AT14" i="330" s="1"/>
  <c r="AU14" i="330" s="1"/>
  <c r="U21" i="330"/>
  <c r="T21" i="330"/>
  <c r="S21" i="330"/>
  <c r="Q21" i="330"/>
  <c r="K21" i="330"/>
  <c r="U20" i="330"/>
  <c r="T20" i="330"/>
  <c r="Q20" i="330"/>
  <c r="S20" i="330" s="1"/>
  <c r="K20" i="330"/>
  <c r="U19" i="330"/>
  <c r="T19" i="330"/>
  <c r="Q19" i="330"/>
  <c r="S19" i="330" s="1"/>
  <c r="K19" i="330"/>
  <c r="U18" i="330"/>
  <c r="S18" i="330"/>
  <c r="Q18" i="330"/>
  <c r="T18" i="330" s="1"/>
  <c r="K18" i="330"/>
  <c r="U17" i="330"/>
  <c r="Q17" i="330"/>
  <c r="T17" i="330" s="1"/>
  <c r="K17" i="330"/>
  <c r="U16" i="330"/>
  <c r="T16" i="330"/>
  <c r="S16" i="330"/>
  <c r="K16" i="330"/>
  <c r="Z15" i="330"/>
  <c r="U15" i="330"/>
  <c r="T15" i="330"/>
  <c r="Q15" i="330"/>
  <c r="S15" i="330" s="1"/>
  <c r="K15" i="330"/>
  <c r="U14" i="330"/>
  <c r="T14" i="330"/>
  <c r="Q14" i="330"/>
  <c r="S14" i="330" s="1"/>
  <c r="K14" i="330"/>
  <c r="U13" i="330"/>
  <c r="Q13" i="330"/>
  <c r="T13" i="330" s="1"/>
  <c r="K13" i="330"/>
  <c r="AC12" i="330"/>
  <c r="AB12" i="330"/>
  <c r="AA12" i="330"/>
  <c r="U12" i="330"/>
  <c r="Q12" i="330"/>
  <c r="T12" i="330" s="1"/>
  <c r="K12" i="330"/>
  <c r="AH11" i="330"/>
  <c r="AE11" i="330"/>
  <c r="AA11" i="330"/>
  <c r="U11" i="330"/>
  <c r="T11" i="330"/>
  <c r="Q11" i="330"/>
  <c r="S11" i="330" s="1"/>
  <c r="K11" i="330"/>
  <c r="AH10" i="330"/>
  <c r="AE10" i="330"/>
  <c r="AB10" i="330"/>
  <c r="AC61" i="330" s="1"/>
  <c r="U10" i="330"/>
  <c r="Q10" i="330"/>
  <c r="S10" i="330" s="1"/>
  <c r="K10" i="330"/>
  <c r="U9" i="330"/>
  <c r="Q9" i="330"/>
  <c r="S9" i="330" s="1"/>
  <c r="K9" i="330"/>
  <c r="U8" i="330"/>
  <c r="T8" i="330"/>
  <c r="Q8" i="330"/>
  <c r="S8" i="330" s="1"/>
  <c r="K8" i="330"/>
  <c r="Z7" i="330"/>
  <c r="U7" i="330"/>
  <c r="Q7" i="330"/>
  <c r="H105" i="330"/>
  <c r="Z6" i="330"/>
  <c r="U6" i="330"/>
  <c r="T6" i="330"/>
  <c r="Q6" i="330"/>
  <c r="S6" i="330" s="1"/>
  <c r="K6" i="330"/>
  <c r="AM5" i="330"/>
  <c r="AM6" i="330" s="1"/>
  <c r="AM8" i="330" s="1"/>
  <c r="AL5" i="330"/>
  <c r="AL6" i="330" s="1"/>
  <c r="AL8" i="330" s="1"/>
  <c r="AK5" i="330"/>
  <c r="AK6" i="330" s="1"/>
  <c r="AK8" i="330" s="1"/>
  <c r="AJ5" i="330"/>
  <c r="AJ6" i="330" s="1"/>
  <c r="AJ8" i="330" s="1"/>
  <c r="U5" i="330"/>
  <c r="S5" i="330"/>
  <c r="Q5" i="330"/>
  <c r="T5" i="330" s="1"/>
  <c r="K5" i="330"/>
  <c r="U4" i="330"/>
  <c r="S4" i="330"/>
  <c r="Q4" i="330"/>
  <c r="T4" i="330" s="1"/>
  <c r="K4" i="330"/>
  <c r="AO3" i="330"/>
  <c r="U3" i="330"/>
  <c r="S3" i="330"/>
  <c r="Q3" i="330"/>
  <c r="T3" i="330" s="1"/>
  <c r="K3" i="330"/>
  <c r="U2" i="330"/>
  <c r="T2" i="330"/>
  <c r="Q2" i="330"/>
  <c r="K2" i="330"/>
  <c r="AF81" i="333" l="1"/>
  <c r="X4" i="333"/>
  <c r="W5" i="333"/>
  <c r="AK78" i="333"/>
  <c r="AL79" i="333" s="1"/>
  <c r="AL75" i="333"/>
  <c r="AL78" i="333" s="1"/>
  <c r="AC4" i="332"/>
  <c r="Z59" i="332" s="1"/>
  <c r="V105" i="332"/>
  <c r="AA37" i="332"/>
  <c r="AB37" i="332" s="1"/>
  <c r="AB35" i="332"/>
  <c r="Z18" i="332"/>
  <c r="Z24" i="332" s="1"/>
  <c r="W2" i="332" s="1"/>
  <c r="Z13" i="332"/>
  <c r="AA3" i="332"/>
  <c r="AA4" i="332"/>
  <c r="AB4" i="332"/>
  <c r="AD60" i="332"/>
  <c r="AE80" i="332" s="1"/>
  <c r="Z53" i="332"/>
  <c r="AB80" i="332"/>
  <c r="AD80" i="332" s="1"/>
  <c r="AK77" i="332" s="1"/>
  <c r="AL77" i="332" s="1"/>
  <c r="AD36" i="331"/>
  <c r="AE36" i="331" s="1"/>
  <c r="S105" i="331"/>
  <c r="AC4" i="331" s="1"/>
  <c r="AC5" i="331" s="1"/>
  <c r="K147" i="331"/>
  <c r="N2" i="331"/>
  <c r="O14" i="331" s="1"/>
  <c r="K143" i="331"/>
  <c r="O69" i="331"/>
  <c r="AC42" i="331"/>
  <c r="AE34" i="331"/>
  <c r="O36" i="331"/>
  <c r="AD5" i="331"/>
  <c r="AA34" i="331" s="1"/>
  <c r="AB34" i="331" s="1"/>
  <c r="AT8" i="330"/>
  <c r="AU8" i="330" s="1"/>
  <c r="AD34" i="330"/>
  <c r="AE34" i="330" s="1"/>
  <c r="V67" i="330"/>
  <c r="Z37" i="330"/>
  <c r="O61" i="331"/>
  <c r="K149" i="331"/>
  <c r="O59" i="331"/>
  <c r="O24" i="331"/>
  <c r="Z60" i="331"/>
  <c r="AD60" i="331" s="1"/>
  <c r="O86" i="331"/>
  <c r="O84" i="331"/>
  <c r="K119" i="331"/>
  <c r="K145" i="331" s="1"/>
  <c r="O35" i="331"/>
  <c r="AA69" i="331"/>
  <c r="AF10" i="331"/>
  <c r="AF9" i="331" s="1"/>
  <c r="AB95" i="331"/>
  <c r="AD28" i="331"/>
  <c r="T105" i="331"/>
  <c r="AB4" i="331" s="1"/>
  <c r="Z58" i="331" s="1"/>
  <c r="V7" i="331"/>
  <c r="V105" i="331" s="1"/>
  <c r="J142" i="331"/>
  <c r="K116" i="331"/>
  <c r="K142" i="331" s="1"/>
  <c r="O101" i="331"/>
  <c r="O97" i="331"/>
  <c r="O95" i="331"/>
  <c r="O103" i="331"/>
  <c r="O99" i="331"/>
  <c r="O98" i="331"/>
  <c r="O94" i="331"/>
  <c r="O102" i="331"/>
  <c r="O96" i="331"/>
  <c r="O100" i="331"/>
  <c r="K115" i="331"/>
  <c r="K141" i="331" s="1"/>
  <c r="I141" i="331"/>
  <c r="O56" i="331"/>
  <c r="O45" i="331"/>
  <c r="O42" i="331"/>
  <c r="O39" i="331"/>
  <c r="O34" i="331"/>
  <c r="O32" i="331"/>
  <c r="O43" i="331"/>
  <c r="O50" i="331"/>
  <c r="O30" i="331"/>
  <c r="O54" i="331"/>
  <c r="O47" i="331"/>
  <c r="O49" i="331"/>
  <c r="O31" i="331"/>
  <c r="O80" i="331"/>
  <c r="O79" i="331"/>
  <c r="O77" i="331"/>
  <c r="O76" i="331"/>
  <c r="O75" i="331"/>
  <c r="O70" i="331"/>
  <c r="O62" i="331"/>
  <c r="O72" i="331"/>
  <c r="O68" i="331"/>
  <c r="O65" i="331"/>
  <c r="O58" i="331"/>
  <c r="O71" i="331"/>
  <c r="O60" i="331"/>
  <c r="Z59" i="331"/>
  <c r="AB35" i="331"/>
  <c r="AA37" i="331"/>
  <c r="AB37" i="331" s="1"/>
  <c r="O37" i="331"/>
  <c r="O66" i="331"/>
  <c r="O74" i="331"/>
  <c r="O41" i="331"/>
  <c r="O46" i="331"/>
  <c r="O38" i="331"/>
  <c r="O64" i="331"/>
  <c r="O82" i="331"/>
  <c r="O83" i="331"/>
  <c r="O57" i="331"/>
  <c r="I146" i="331"/>
  <c r="J120" i="331"/>
  <c r="J146" i="331" s="1"/>
  <c r="O15" i="331"/>
  <c r="J144" i="331"/>
  <c r="K118" i="331"/>
  <c r="K144" i="331" s="1"/>
  <c r="O90" i="331"/>
  <c r="O88" i="331"/>
  <c r="O91" i="331"/>
  <c r="O89" i="331"/>
  <c r="O85" i="331"/>
  <c r="AE35" i="331"/>
  <c r="AC37" i="331"/>
  <c r="AA4" i="331"/>
  <c r="Z18" i="331"/>
  <c r="Z24" i="331" s="1"/>
  <c r="W2" i="331" s="1"/>
  <c r="AA3" i="331"/>
  <c r="Z13" i="331"/>
  <c r="O87" i="331"/>
  <c r="O93" i="331"/>
  <c r="O53" i="331"/>
  <c r="O67" i="331"/>
  <c r="O55" i="331"/>
  <c r="O78" i="331"/>
  <c r="O33" i="331"/>
  <c r="O22" i="331"/>
  <c r="O8" i="331"/>
  <c r="O2" i="331"/>
  <c r="O27" i="331"/>
  <c r="O9" i="331"/>
  <c r="O73" i="331"/>
  <c r="AT10" i="331"/>
  <c r="AU10" i="331" s="1"/>
  <c r="V31" i="330"/>
  <c r="AC35" i="330"/>
  <c r="AC37" i="330" s="1"/>
  <c r="V40" i="330"/>
  <c r="V99" i="330"/>
  <c r="V103" i="330"/>
  <c r="I145" i="330"/>
  <c r="K130" i="330"/>
  <c r="AD26" i="330"/>
  <c r="AD27" i="330" s="1"/>
  <c r="V30" i="330"/>
  <c r="V68" i="330"/>
  <c r="V21" i="330"/>
  <c r="V71" i="330"/>
  <c r="AT9" i="330"/>
  <c r="AU9" i="330" s="1"/>
  <c r="V102" i="330"/>
  <c r="V73" i="330"/>
  <c r="V87" i="330"/>
  <c r="V89" i="330"/>
  <c r="V41" i="330"/>
  <c r="V44" i="330"/>
  <c r="V53" i="330"/>
  <c r="N56" i="330"/>
  <c r="O70" i="330" s="1"/>
  <c r="V94" i="330"/>
  <c r="V75" i="330"/>
  <c r="V80" i="330"/>
  <c r="K129" i="330"/>
  <c r="V88" i="330"/>
  <c r="AT15" i="330"/>
  <c r="AU15" i="330" s="1"/>
  <c r="V84" i="330"/>
  <c r="X84" i="330" s="1"/>
  <c r="V38" i="330"/>
  <c r="V66" i="330"/>
  <c r="Z16" i="330"/>
  <c r="AA16" i="330" s="1"/>
  <c r="AC44" i="330"/>
  <c r="V54" i="330"/>
  <c r="V64" i="330"/>
  <c r="V74" i="330"/>
  <c r="V82" i="330"/>
  <c r="V86" i="330"/>
  <c r="V92" i="330"/>
  <c r="J148" i="330"/>
  <c r="K133" i="330"/>
  <c r="K135" i="330"/>
  <c r="K137" i="330"/>
  <c r="K150" i="330" s="1"/>
  <c r="V49" i="330"/>
  <c r="V98" i="330"/>
  <c r="V37" i="330"/>
  <c r="V46" i="330"/>
  <c r="V48" i="330"/>
  <c r="V63" i="330"/>
  <c r="V65" i="330"/>
  <c r="V93" i="330"/>
  <c r="I143" i="330"/>
  <c r="K132" i="330"/>
  <c r="O58" i="330"/>
  <c r="AT6" i="330"/>
  <c r="AU6" i="330" s="1"/>
  <c r="N94" i="330"/>
  <c r="O96" i="330" s="1"/>
  <c r="V96" i="330"/>
  <c r="J119" i="330"/>
  <c r="J145" i="330" s="1"/>
  <c r="AT16" i="330"/>
  <c r="AU16" i="330" s="1"/>
  <c r="AH12" i="330"/>
  <c r="AT12" i="330"/>
  <c r="AU12" i="330" s="1"/>
  <c r="V33" i="330"/>
  <c r="V50" i="330"/>
  <c r="V52" i="330"/>
  <c r="V72" i="330"/>
  <c r="V77" i="330"/>
  <c r="V90" i="330"/>
  <c r="V95" i="330"/>
  <c r="J110" i="330"/>
  <c r="O62" i="330"/>
  <c r="AT7" i="330"/>
  <c r="AU7" i="330" s="1"/>
  <c r="V56" i="330"/>
  <c r="V78" i="330"/>
  <c r="V81" i="330"/>
  <c r="V23" i="330"/>
  <c r="AE27" i="330"/>
  <c r="V32" i="330"/>
  <c r="V35" i="330"/>
  <c r="V43" i="330"/>
  <c r="AC45" i="330"/>
  <c r="V47" i="330"/>
  <c r="AB61" i="330"/>
  <c r="V61" i="330"/>
  <c r="V62" i="330"/>
  <c r="V76" i="330"/>
  <c r="V79" i="330"/>
  <c r="V100" i="330"/>
  <c r="J109" i="330"/>
  <c r="AB62" i="330"/>
  <c r="I147" i="330"/>
  <c r="V55" i="330"/>
  <c r="S12" i="330"/>
  <c r="V12" i="330" s="1"/>
  <c r="S13" i="330"/>
  <c r="V13" i="330" s="1"/>
  <c r="V18" i="330"/>
  <c r="J117" i="330"/>
  <c r="J143" i="330" s="1"/>
  <c r="V14" i="330"/>
  <c r="V3" i="330"/>
  <c r="V22" i="330"/>
  <c r="V29" i="330"/>
  <c r="V11" i="330"/>
  <c r="V15" i="330"/>
  <c r="Q105" i="330"/>
  <c r="S17" i="330"/>
  <c r="V17" i="330" s="1"/>
  <c r="V24" i="330"/>
  <c r="T9" i="330"/>
  <c r="V9" i="330" s="1"/>
  <c r="V19" i="330"/>
  <c r="V27" i="330"/>
  <c r="AC43" i="330"/>
  <c r="V20" i="330"/>
  <c r="V25" i="330"/>
  <c r="V26" i="330"/>
  <c r="V4" i="330"/>
  <c r="V5" i="330"/>
  <c r="V6" i="330"/>
  <c r="AT19" i="330"/>
  <c r="AU19" i="330" s="1"/>
  <c r="AA69" i="330"/>
  <c r="AC78" i="330"/>
  <c r="AT11" i="330"/>
  <c r="AU11" i="330" s="1"/>
  <c r="V8" i="330"/>
  <c r="AA15" i="330"/>
  <c r="V16" i="330"/>
  <c r="AT17" i="330"/>
  <c r="AU17" i="330" s="1"/>
  <c r="N27" i="330"/>
  <c r="O37" i="330" s="1"/>
  <c r="V28" i="330"/>
  <c r="V34" i="330"/>
  <c r="V36" i="330"/>
  <c r="V58" i="330"/>
  <c r="V60" i="330"/>
  <c r="J149" i="330"/>
  <c r="K123" i="330"/>
  <c r="K149" i="330" s="1"/>
  <c r="J141" i="330"/>
  <c r="K128" i="330"/>
  <c r="I115" i="330"/>
  <c r="S7" i="330"/>
  <c r="K7" i="330"/>
  <c r="AT22" i="330"/>
  <c r="AU22" i="330" s="1"/>
  <c r="AA42" i="330"/>
  <c r="S2" i="330"/>
  <c r="AT4" i="330"/>
  <c r="AU4" i="330" s="1"/>
  <c r="AT5" i="330"/>
  <c r="AU5" i="330" s="1"/>
  <c r="I105" i="330"/>
  <c r="AB42" i="330"/>
  <c r="I120" i="330"/>
  <c r="T7" i="330"/>
  <c r="AA68" i="330"/>
  <c r="AA9" i="330"/>
  <c r="T10" i="330"/>
  <c r="V10" i="330" s="1"/>
  <c r="Z10" i="330"/>
  <c r="AT13" i="330"/>
  <c r="AU13" i="330" s="1"/>
  <c r="AT18" i="330"/>
  <c r="AU18" i="330" s="1"/>
  <c r="N50" i="330"/>
  <c r="V57" i="330"/>
  <c r="U105" i="330"/>
  <c r="AD4" i="330" s="1"/>
  <c r="J151" i="330"/>
  <c r="K151" i="330" s="1"/>
  <c r="K125" i="330"/>
  <c r="V39" i="330"/>
  <c r="V45" i="330"/>
  <c r="AC58" i="330"/>
  <c r="I142" i="330"/>
  <c r="J116" i="330"/>
  <c r="I144" i="330"/>
  <c r="J118" i="330"/>
  <c r="I148" i="330"/>
  <c r="K122" i="330"/>
  <c r="I150" i="330"/>
  <c r="J124" i="330"/>
  <c r="J150" i="330" s="1"/>
  <c r="V42" i="330"/>
  <c r="V51" i="330"/>
  <c r="V107" i="330" s="1"/>
  <c r="V109" i="330" s="1"/>
  <c r="V59" i="330"/>
  <c r="AN74" i="330"/>
  <c r="AO73" i="330"/>
  <c r="N81" i="330"/>
  <c r="O81" i="330" s="1"/>
  <c r="V69" i="330"/>
  <c r="V70" i="330"/>
  <c r="N85" i="330"/>
  <c r="O87" i="330" s="1"/>
  <c r="V97" i="330"/>
  <c r="V101" i="330"/>
  <c r="K121" i="330"/>
  <c r="V83" i="330"/>
  <c r="O84" i="330"/>
  <c r="V85" i="330"/>
  <c r="V91" i="330"/>
  <c r="J147" i="330"/>
  <c r="K134" i="330"/>
  <c r="X5" i="333" l="1"/>
  <c r="W6" i="333"/>
  <c r="AC5" i="332"/>
  <c r="AF80" i="332"/>
  <c r="AF3" i="332"/>
  <c r="AG3" i="332"/>
  <c r="AA5" i="332"/>
  <c r="Z3" i="332"/>
  <c r="Z4" i="332"/>
  <c r="AG4" i="332"/>
  <c r="L2" i="332"/>
  <c r="L3" i="332" s="1"/>
  <c r="L4" i="332" s="1"/>
  <c r="L5" i="332" s="1"/>
  <c r="L6" i="332" s="1"/>
  <c r="L7" i="332" s="1"/>
  <c r="L8" i="332" s="1"/>
  <c r="L9" i="332" s="1"/>
  <c r="L10" i="332" s="1"/>
  <c r="L11" i="332" s="1"/>
  <c r="L12" i="332" s="1"/>
  <c r="L13" i="332" s="1"/>
  <c r="L14" i="332" s="1"/>
  <c r="L15" i="332" s="1"/>
  <c r="L16" i="332" s="1"/>
  <c r="L17" i="332" s="1"/>
  <c r="L18" i="332" s="1"/>
  <c r="L19" i="332" s="1"/>
  <c r="L20" i="332" s="1"/>
  <c r="L21" i="332" s="1"/>
  <c r="L22" i="332" s="1"/>
  <c r="L23" i="332" s="1"/>
  <c r="L24" i="332" s="1"/>
  <c r="L25" i="332" s="1"/>
  <c r="L26" i="332" s="1"/>
  <c r="L27" i="332" s="1"/>
  <c r="L28" i="332" s="1"/>
  <c r="L29" i="332" s="1"/>
  <c r="L30" i="332" s="1"/>
  <c r="L31" i="332" s="1"/>
  <c r="L32" i="332" s="1"/>
  <c r="L33" i="332" s="1"/>
  <c r="L34" i="332" s="1"/>
  <c r="L35" i="332" s="1"/>
  <c r="L36" i="332" s="1"/>
  <c r="L37" i="332" s="1"/>
  <c r="L38" i="332" s="1"/>
  <c r="L39" i="332" s="1"/>
  <c r="L40" i="332" s="1"/>
  <c r="L41" i="332" s="1"/>
  <c r="L42" i="332" s="1"/>
  <c r="L43" i="332" s="1"/>
  <c r="L44" i="332" s="1"/>
  <c r="L45" i="332" s="1"/>
  <c r="L46" i="332" s="1"/>
  <c r="L47" i="332" s="1"/>
  <c r="L48" i="332" s="1"/>
  <c r="L49" i="332" s="1"/>
  <c r="L50" i="332" s="1"/>
  <c r="L51" i="332" s="1"/>
  <c r="L52" i="332" s="1"/>
  <c r="L53" i="332" s="1"/>
  <c r="L54" i="332" s="1"/>
  <c r="L55" i="332" s="1"/>
  <c r="L56" i="332" s="1"/>
  <c r="L57" i="332" s="1"/>
  <c r="L58" i="332" s="1"/>
  <c r="L59" i="332" s="1"/>
  <c r="L60" i="332" s="1"/>
  <c r="L61" i="332" s="1"/>
  <c r="L62" i="332" s="1"/>
  <c r="L63" i="332" s="1"/>
  <c r="L64" i="332" s="1"/>
  <c r="L65" i="332" s="1"/>
  <c r="L66" i="332" s="1"/>
  <c r="L67" i="332" s="1"/>
  <c r="L68" i="332" s="1"/>
  <c r="L69" i="332" s="1"/>
  <c r="L70" i="332" s="1"/>
  <c r="L71" i="332" s="1"/>
  <c r="L72" i="332" s="1"/>
  <c r="L73" i="332" s="1"/>
  <c r="L74" i="332" s="1"/>
  <c r="L75" i="332" s="1"/>
  <c r="L76" i="332" s="1"/>
  <c r="L77" i="332" s="1"/>
  <c r="L78" i="332" s="1"/>
  <c r="L79" i="332" s="1"/>
  <c r="L80" i="332" s="1"/>
  <c r="L81" i="332" s="1"/>
  <c r="L82" i="332" s="1"/>
  <c r="L83" i="332" s="1"/>
  <c r="L84" i="332" s="1"/>
  <c r="L85" i="332" s="1"/>
  <c r="L86" i="332" s="1"/>
  <c r="L87" i="332" s="1"/>
  <c r="L88" i="332" s="1"/>
  <c r="L89" i="332" s="1"/>
  <c r="L90" i="332" s="1"/>
  <c r="L91" i="332" s="1"/>
  <c r="L92" i="332" s="1"/>
  <c r="L93" i="332" s="1"/>
  <c r="L94" i="332" s="1"/>
  <c r="L95" i="332" s="1"/>
  <c r="L96" i="332" s="1"/>
  <c r="L97" i="332" s="1"/>
  <c r="L98" i="332" s="1"/>
  <c r="L99" i="332" s="1"/>
  <c r="L100" i="332" s="1"/>
  <c r="L101" i="332" s="1"/>
  <c r="L102" i="332" s="1"/>
  <c r="L103" i="332" s="1"/>
  <c r="L105" i="332" s="1"/>
  <c r="Z58" i="332"/>
  <c r="AB5" i="332"/>
  <c r="AE4" i="332"/>
  <c r="AF4" i="332" s="1"/>
  <c r="W3" i="332"/>
  <c r="AB79" i="332"/>
  <c r="AD79" i="332" s="1"/>
  <c r="AK76" i="332" s="1"/>
  <c r="AL76" i="332" s="1"/>
  <c r="AD59" i="332"/>
  <c r="O29" i="331"/>
  <c r="O7" i="331"/>
  <c r="O10" i="331"/>
  <c r="O3" i="331"/>
  <c r="AB80" i="331"/>
  <c r="AD80" i="331" s="1"/>
  <c r="AK77" i="331" s="1"/>
  <c r="AL77" i="331" s="1"/>
  <c r="O12" i="331"/>
  <c r="O17" i="331"/>
  <c r="O11" i="331"/>
  <c r="O19" i="331"/>
  <c r="O13" i="331"/>
  <c r="O5" i="331"/>
  <c r="AD37" i="331"/>
  <c r="AE37" i="331"/>
  <c r="O16" i="331"/>
  <c r="O4" i="331"/>
  <c r="N105" i="331"/>
  <c r="O28" i="331"/>
  <c r="O26" i="331"/>
  <c r="O6" i="331"/>
  <c r="O20" i="331"/>
  <c r="O25" i="331"/>
  <c r="Z53" i="331"/>
  <c r="AD36" i="330"/>
  <c r="AE36" i="330" s="1"/>
  <c r="K148" i="330"/>
  <c r="O68" i="330"/>
  <c r="O57" i="330"/>
  <c r="K119" i="330"/>
  <c r="K145" i="330" s="1"/>
  <c r="O72" i="330"/>
  <c r="O80" i="330"/>
  <c r="AB5" i="331"/>
  <c r="AE5" i="331" s="1"/>
  <c r="K120" i="331"/>
  <c r="K146" i="331" s="1"/>
  <c r="K152" i="331" s="1"/>
  <c r="AE80" i="331"/>
  <c r="AF60" i="331"/>
  <c r="AD35" i="330"/>
  <c r="O74" i="330"/>
  <c r="O66" i="330"/>
  <c r="O78" i="330"/>
  <c r="O55" i="330"/>
  <c r="AE4" i="331"/>
  <c r="AF4" i="331" s="1"/>
  <c r="AF80" i="331"/>
  <c r="AA5" i="331"/>
  <c r="AF3" i="331"/>
  <c r="AG3" i="331"/>
  <c r="W3" i="331"/>
  <c r="AB78" i="331"/>
  <c r="AD58" i="331"/>
  <c r="AF58" i="331" s="1"/>
  <c r="Z62" i="331"/>
  <c r="Z61" i="331"/>
  <c r="AG4" i="331"/>
  <c r="L2" i="331"/>
  <c r="L3" i="331" s="1"/>
  <c r="L4" i="331" s="1"/>
  <c r="L5" i="331" s="1"/>
  <c r="L6" i="331" s="1"/>
  <c r="L7" i="331" s="1"/>
  <c r="L8" i="331" s="1"/>
  <c r="L9" i="331" s="1"/>
  <c r="L10" i="331" s="1"/>
  <c r="L11" i="331" s="1"/>
  <c r="L12" i="331" s="1"/>
  <c r="L13" i="331" s="1"/>
  <c r="L14" i="331" s="1"/>
  <c r="L15" i="331" s="1"/>
  <c r="L16" i="331" s="1"/>
  <c r="L17" i="331" s="1"/>
  <c r="L18" i="331" s="1"/>
  <c r="L19" i="331" s="1"/>
  <c r="L20" i="331" s="1"/>
  <c r="L21" i="331" s="1"/>
  <c r="L22" i="331" s="1"/>
  <c r="L23" i="331" s="1"/>
  <c r="L24" i="331" s="1"/>
  <c r="L25" i="331" s="1"/>
  <c r="L26" i="331" s="1"/>
  <c r="L27" i="331" s="1"/>
  <c r="L28" i="331" s="1"/>
  <c r="L29" i="331" s="1"/>
  <c r="L30" i="331" s="1"/>
  <c r="L31" i="331" s="1"/>
  <c r="L32" i="331" s="1"/>
  <c r="L33" i="331" s="1"/>
  <c r="L34" i="331" s="1"/>
  <c r="L35" i="331" s="1"/>
  <c r="L36" i="331" s="1"/>
  <c r="L37" i="331" s="1"/>
  <c r="L38" i="331" s="1"/>
  <c r="L39" i="331" s="1"/>
  <c r="L40" i="331" s="1"/>
  <c r="L41" i="331" s="1"/>
  <c r="L42" i="331" s="1"/>
  <c r="L43" i="331" s="1"/>
  <c r="L44" i="331" s="1"/>
  <c r="L45" i="331" s="1"/>
  <c r="L46" i="331" s="1"/>
  <c r="L47" i="331" s="1"/>
  <c r="L48" i="331" s="1"/>
  <c r="L49" i="331" s="1"/>
  <c r="L50" i="331" s="1"/>
  <c r="L51" i="331" s="1"/>
  <c r="L52" i="331" s="1"/>
  <c r="L53" i="331" s="1"/>
  <c r="L54" i="331" s="1"/>
  <c r="L55" i="331" s="1"/>
  <c r="L56" i="331" s="1"/>
  <c r="L57" i="331" s="1"/>
  <c r="L58" i="331" s="1"/>
  <c r="L59" i="331" s="1"/>
  <c r="L60" i="331" s="1"/>
  <c r="L61" i="331" s="1"/>
  <c r="L62" i="331" s="1"/>
  <c r="L63" i="331" s="1"/>
  <c r="L64" i="331" s="1"/>
  <c r="L65" i="331" s="1"/>
  <c r="L66" i="331" s="1"/>
  <c r="L67" i="331" s="1"/>
  <c r="L68" i="331" s="1"/>
  <c r="L69" i="331" s="1"/>
  <c r="L70" i="331" s="1"/>
  <c r="L71" i="331" s="1"/>
  <c r="L72" i="331" s="1"/>
  <c r="L73" i="331" s="1"/>
  <c r="L74" i="331" s="1"/>
  <c r="L75" i="331" s="1"/>
  <c r="L76" i="331" s="1"/>
  <c r="L77" i="331" s="1"/>
  <c r="L78" i="331" s="1"/>
  <c r="L79" i="331" s="1"/>
  <c r="L80" i="331" s="1"/>
  <c r="L81" i="331" s="1"/>
  <c r="L82" i="331" s="1"/>
  <c r="L83" i="331" s="1"/>
  <c r="L84" i="331" s="1"/>
  <c r="L85" i="331" s="1"/>
  <c r="L86" i="331" s="1"/>
  <c r="L87" i="331" s="1"/>
  <c r="L88" i="331" s="1"/>
  <c r="L89" i="331" s="1"/>
  <c r="L90" i="331" s="1"/>
  <c r="L91" i="331" s="1"/>
  <c r="L92" i="331" s="1"/>
  <c r="L93" i="331" s="1"/>
  <c r="L94" i="331" s="1"/>
  <c r="L95" i="331" s="1"/>
  <c r="L96" i="331" s="1"/>
  <c r="L97" i="331" s="1"/>
  <c r="L98" i="331" s="1"/>
  <c r="L99" i="331" s="1"/>
  <c r="L100" i="331" s="1"/>
  <c r="L101" i="331" s="1"/>
  <c r="L102" i="331" s="1"/>
  <c r="L103" i="331" s="1"/>
  <c r="L105" i="331" s="1"/>
  <c r="I152" i="331"/>
  <c r="Z3" i="331"/>
  <c r="Z4" i="331"/>
  <c r="AD59" i="331"/>
  <c r="AF59" i="331" s="1"/>
  <c r="AB79" i="331"/>
  <c r="AD79" i="331" s="1"/>
  <c r="AK76" i="331" s="1"/>
  <c r="AL76" i="331" s="1"/>
  <c r="J152" i="331"/>
  <c r="O71" i="330"/>
  <c r="O69" i="330"/>
  <c r="O63" i="330"/>
  <c r="O61" i="330"/>
  <c r="J111" i="330"/>
  <c r="O77" i="330"/>
  <c r="O79" i="330"/>
  <c r="O65" i="330"/>
  <c r="O59" i="330"/>
  <c r="O75" i="330"/>
  <c r="O73" i="330"/>
  <c r="O64" i="330"/>
  <c r="O67" i="330"/>
  <c r="O76" i="330"/>
  <c r="O60" i="330"/>
  <c r="K147" i="330"/>
  <c r="O86" i="330"/>
  <c r="O94" i="330"/>
  <c r="O100" i="330"/>
  <c r="O43" i="330"/>
  <c r="O36" i="330"/>
  <c r="O47" i="330"/>
  <c r="O31" i="330"/>
  <c r="O33" i="330"/>
  <c r="O97" i="330"/>
  <c r="O46" i="330"/>
  <c r="O35" i="330"/>
  <c r="O50" i="330"/>
  <c r="O95" i="330"/>
  <c r="O99" i="330"/>
  <c r="O102" i="330"/>
  <c r="O98" i="330"/>
  <c r="O101" i="330"/>
  <c r="O103" i="330"/>
  <c r="K117" i="330"/>
  <c r="K143" i="330" s="1"/>
  <c r="AC42" i="330"/>
  <c r="K118" i="330"/>
  <c r="K144" i="330" s="1"/>
  <c r="J144" i="330"/>
  <c r="AT10" i="330"/>
  <c r="AU10" i="330" s="1"/>
  <c r="O82" i="330"/>
  <c r="O83" i="330"/>
  <c r="Z60" i="330"/>
  <c r="AA35" i="330"/>
  <c r="AD28" i="330"/>
  <c r="AF10" i="330"/>
  <c r="Z14" i="330"/>
  <c r="AA10" i="330"/>
  <c r="K105" i="330"/>
  <c r="V7" i="330"/>
  <c r="O49" i="330"/>
  <c r="O44" i="330"/>
  <c r="O38" i="330"/>
  <c r="O56" i="330"/>
  <c r="O54" i="330"/>
  <c r="O39" i="330"/>
  <c r="O34" i="330"/>
  <c r="O53" i="330"/>
  <c r="O45" i="330"/>
  <c r="O42" i="330"/>
  <c r="O41" i="330"/>
  <c r="O32" i="330"/>
  <c r="O30" i="330"/>
  <c r="O93" i="330"/>
  <c r="O90" i="330"/>
  <c r="O88" i="330"/>
  <c r="O89" i="330"/>
  <c r="O85" i="330"/>
  <c r="O91" i="330"/>
  <c r="O92" i="330"/>
  <c r="K116" i="330"/>
  <c r="K142" i="330" s="1"/>
  <c r="J142" i="330"/>
  <c r="I146" i="330"/>
  <c r="J120" i="330"/>
  <c r="J146" i="330" s="1"/>
  <c r="I141" i="330"/>
  <c r="K115" i="330"/>
  <c r="K141" i="330" s="1"/>
  <c r="T105" i="330"/>
  <c r="S105" i="330"/>
  <c r="V2" i="330"/>
  <c r="N2" i="330"/>
  <c r="I151" i="329"/>
  <c r="J138" i="329"/>
  <c r="K138" i="329" s="1"/>
  <c r="I138" i="329"/>
  <c r="J137" i="329"/>
  <c r="I137" i="329"/>
  <c r="J136" i="329"/>
  <c r="I136" i="329"/>
  <c r="K136" i="329" s="1"/>
  <c r="J135" i="329"/>
  <c r="I135" i="329"/>
  <c r="J134" i="329"/>
  <c r="I134" i="329"/>
  <c r="J133" i="329"/>
  <c r="I133" i="329"/>
  <c r="J132" i="329"/>
  <c r="I132" i="329"/>
  <c r="K131" i="329"/>
  <c r="J131" i="329"/>
  <c r="I131" i="329"/>
  <c r="J130" i="329"/>
  <c r="I130" i="329"/>
  <c r="J129" i="329"/>
  <c r="I129" i="329"/>
  <c r="J128" i="329"/>
  <c r="I128" i="329"/>
  <c r="I125" i="329"/>
  <c r="I124" i="329"/>
  <c r="J123" i="329"/>
  <c r="J149" i="329" s="1"/>
  <c r="I123" i="329"/>
  <c r="J122" i="329"/>
  <c r="I122" i="329"/>
  <c r="I121" i="329"/>
  <c r="J121" i="329" s="1"/>
  <c r="I119" i="329"/>
  <c r="I118" i="329"/>
  <c r="I144" i="329" s="1"/>
  <c r="I117" i="329"/>
  <c r="J117" i="329" s="1"/>
  <c r="I116" i="329"/>
  <c r="AC115" i="329"/>
  <c r="J115" i="329"/>
  <c r="B115" i="329"/>
  <c r="I111" i="329"/>
  <c r="J110" i="329" s="1"/>
  <c r="AA107" i="329"/>
  <c r="P106" i="329"/>
  <c r="R105" i="329"/>
  <c r="P105" i="329"/>
  <c r="M105" i="329"/>
  <c r="J105" i="329"/>
  <c r="B105" i="329"/>
  <c r="U103" i="329"/>
  <c r="T103" i="329"/>
  <c r="S103" i="329"/>
  <c r="Q103" i="329"/>
  <c r="K103" i="329"/>
  <c r="U102" i="329"/>
  <c r="T102" i="329"/>
  <c r="S102" i="329"/>
  <c r="Q102" i="329"/>
  <c r="K102" i="329"/>
  <c r="U101" i="329"/>
  <c r="T101" i="329"/>
  <c r="S101" i="329"/>
  <c r="Q101" i="329"/>
  <c r="K101" i="329"/>
  <c r="AA100" i="329"/>
  <c r="U100" i="329"/>
  <c r="T100" i="329"/>
  <c r="S100" i="329"/>
  <c r="Q100" i="329"/>
  <c r="K100" i="329"/>
  <c r="AA99" i="329"/>
  <c r="U99" i="329"/>
  <c r="T99" i="329"/>
  <c r="S99" i="329"/>
  <c r="Q99" i="329"/>
  <c r="K99" i="329"/>
  <c r="AA98" i="329"/>
  <c r="U98" i="329"/>
  <c r="T98" i="329"/>
  <c r="S98" i="329"/>
  <c r="Q98" i="329"/>
  <c r="K98" i="329"/>
  <c r="U97" i="329"/>
  <c r="T97" i="329"/>
  <c r="S97" i="329"/>
  <c r="Q97" i="329"/>
  <c r="K97" i="329"/>
  <c r="U96" i="329"/>
  <c r="T96" i="329"/>
  <c r="S96" i="329"/>
  <c r="Q96" i="329"/>
  <c r="K96" i="329"/>
  <c r="AA95" i="329"/>
  <c r="U95" i="329"/>
  <c r="T95" i="329"/>
  <c r="S95" i="329"/>
  <c r="Q95" i="329"/>
  <c r="K95" i="329"/>
  <c r="AA94" i="329"/>
  <c r="U94" i="329"/>
  <c r="T94" i="329"/>
  <c r="S94" i="329"/>
  <c r="Q94" i="329"/>
  <c r="K94" i="329"/>
  <c r="AA93" i="329"/>
  <c r="U93" i="329"/>
  <c r="T93" i="329"/>
  <c r="S93" i="329"/>
  <c r="Q93" i="329"/>
  <c r="K93" i="329"/>
  <c r="U92" i="329"/>
  <c r="T92" i="329"/>
  <c r="S92" i="329"/>
  <c r="Q92" i="329"/>
  <c r="K92" i="329"/>
  <c r="U91" i="329"/>
  <c r="T91" i="329"/>
  <c r="S91" i="329"/>
  <c r="Q91" i="329"/>
  <c r="K91" i="329"/>
  <c r="U90" i="329"/>
  <c r="T90" i="329"/>
  <c r="S90" i="329"/>
  <c r="Q90" i="329"/>
  <c r="K90" i="329"/>
  <c r="U89" i="329"/>
  <c r="T89" i="329"/>
  <c r="S89" i="329"/>
  <c r="Q89" i="329"/>
  <c r="K89" i="329"/>
  <c r="U88" i="329"/>
  <c r="T88" i="329"/>
  <c r="S88" i="329"/>
  <c r="Q88" i="329"/>
  <c r="K88" i="329"/>
  <c r="AE87" i="329"/>
  <c r="AF86" i="329" s="1"/>
  <c r="AG86" i="329" s="1"/>
  <c r="AH86" i="329" s="1"/>
  <c r="AH87" i="329" s="1"/>
  <c r="AH88" i="329" s="1"/>
  <c r="AA87" i="329"/>
  <c r="Y87" i="329"/>
  <c r="U87" i="329"/>
  <c r="T87" i="329"/>
  <c r="S87" i="329"/>
  <c r="Q87" i="329"/>
  <c r="K87" i="329"/>
  <c r="U86" i="329"/>
  <c r="T86" i="329"/>
  <c r="S86" i="329"/>
  <c r="Q86" i="329"/>
  <c r="K86" i="329"/>
  <c r="U85" i="329"/>
  <c r="T85" i="329"/>
  <c r="S85" i="329"/>
  <c r="Q85" i="329"/>
  <c r="K85" i="329"/>
  <c r="U84" i="329"/>
  <c r="T84" i="329"/>
  <c r="S84" i="329"/>
  <c r="Q84" i="329"/>
  <c r="K84" i="329"/>
  <c r="U83" i="329"/>
  <c r="T83" i="329"/>
  <c r="S83" i="329"/>
  <c r="Q83" i="329"/>
  <c r="K83" i="329"/>
  <c r="U82" i="329"/>
  <c r="T82" i="329"/>
  <c r="S82" i="329"/>
  <c r="Q82" i="329"/>
  <c r="K82" i="329"/>
  <c r="AA81" i="329"/>
  <c r="AA86" i="329" s="1"/>
  <c r="AB86" i="329" s="1"/>
  <c r="AC86" i="329" s="1"/>
  <c r="AD86" i="329" s="1"/>
  <c r="AD87" i="329" s="1"/>
  <c r="AD88" i="329" s="1"/>
  <c r="Z81" i="329"/>
  <c r="U81" i="329"/>
  <c r="T81" i="329"/>
  <c r="S81" i="329"/>
  <c r="Q81" i="329"/>
  <c r="K81" i="329"/>
  <c r="AI80" i="329"/>
  <c r="U80" i="329"/>
  <c r="T80" i="329"/>
  <c r="S80" i="329"/>
  <c r="Q80" i="329"/>
  <c r="K80" i="329"/>
  <c r="AI79" i="329"/>
  <c r="U79" i="329"/>
  <c r="T79" i="329"/>
  <c r="S79" i="329"/>
  <c r="Q79" i="329"/>
  <c r="K79" i="329"/>
  <c r="AI78" i="329"/>
  <c r="U78" i="329"/>
  <c r="T78" i="329"/>
  <c r="S78" i="329"/>
  <c r="Q78" i="329"/>
  <c r="K78" i="329"/>
  <c r="U77" i="329"/>
  <c r="T77" i="329"/>
  <c r="S77" i="329"/>
  <c r="Q77" i="329"/>
  <c r="K77" i="329"/>
  <c r="U76" i="329"/>
  <c r="T76" i="329"/>
  <c r="S76" i="329"/>
  <c r="Q76" i="329"/>
  <c r="K76" i="329"/>
  <c r="U75" i="329"/>
  <c r="T75" i="329"/>
  <c r="S75" i="329"/>
  <c r="Q75" i="329"/>
  <c r="K75" i="329"/>
  <c r="U74" i="329"/>
  <c r="T74" i="329"/>
  <c r="S74" i="329"/>
  <c r="Q74" i="329"/>
  <c r="K74" i="329"/>
  <c r="AP73" i="329"/>
  <c r="AQ73" i="329" s="1"/>
  <c r="AD73" i="329"/>
  <c r="AM72" i="329" s="1"/>
  <c r="AN73" i="329" s="1"/>
  <c r="Z73" i="329"/>
  <c r="U73" i="329"/>
  <c r="T73" i="329"/>
  <c r="S73" i="329"/>
  <c r="Q73" i="329"/>
  <c r="K73" i="329"/>
  <c r="Z72" i="329"/>
  <c r="U72" i="329"/>
  <c r="T72" i="329"/>
  <c r="S72" i="329"/>
  <c r="Q72" i="329"/>
  <c r="K72" i="329"/>
  <c r="U71" i="329"/>
  <c r="T71" i="329"/>
  <c r="S71" i="329"/>
  <c r="Q71" i="329"/>
  <c r="K71" i="329"/>
  <c r="U70" i="329"/>
  <c r="T70" i="329"/>
  <c r="S70" i="329"/>
  <c r="Q70" i="329"/>
  <c r="K70" i="329"/>
  <c r="U69" i="329"/>
  <c r="T69" i="329"/>
  <c r="S69" i="329"/>
  <c r="Q69" i="329"/>
  <c r="K69" i="329"/>
  <c r="U68" i="329"/>
  <c r="T68" i="329"/>
  <c r="S68" i="329"/>
  <c r="Q68" i="329"/>
  <c r="K68" i="329"/>
  <c r="AL67" i="329"/>
  <c r="AA67" i="329"/>
  <c r="U67" i="329"/>
  <c r="T67" i="329"/>
  <c r="S67" i="329"/>
  <c r="Q67" i="329"/>
  <c r="K67" i="329"/>
  <c r="AF66" i="329"/>
  <c r="U66" i="329"/>
  <c r="T66" i="329"/>
  <c r="S66" i="329"/>
  <c r="Q66" i="329"/>
  <c r="K66" i="329"/>
  <c r="AF65" i="329"/>
  <c r="U65" i="329"/>
  <c r="T65" i="329"/>
  <c r="S65" i="329"/>
  <c r="Q65" i="329"/>
  <c r="K65" i="329"/>
  <c r="AL64" i="329"/>
  <c r="U64" i="329"/>
  <c r="T64" i="329"/>
  <c r="S64" i="329"/>
  <c r="Q64" i="329"/>
  <c r="K64" i="329"/>
  <c r="U63" i="329"/>
  <c r="T63" i="329"/>
  <c r="S63" i="329"/>
  <c r="Q63" i="329"/>
  <c r="K63" i="329"/>
  <c r="AC62" i="329"/>
  <c r="U62" i="329"/>
  <c r="T62" i="329"/>
  <c r="S62" i="329"/>
  <c r="Q62" i="329"/>
  <c r="K62" i="329"/>
  <c r="U61" i="329"/>
  <c r="T61" i="329"/>
  <c r="S61" i="329"/>
  <c r="Q61" i="329"/>
  <c r="K61" i="329"/>
  <c r="AL60" i="329"/>
  <c r="U60" i="329"/>
  <c r="T60" i="329"/>
  <c r="S60" i="329"/>
  <c r="Q60" i="329"/>
  <c r="K60" i="329"/>
  <c r="AH59" i="329"/>
  <c r="AG59" i="329"/>
  <c r="AI59" i="329" s="1"/>
  <c r="AE59" i="329"/>
  <c r="AE61" i="329" s="1"/>
  <c r="AB59" i="329"/>
  <c r="AA59" i="329"/>
  <c r="AC79" i="329" s="1"/>
  <c r="U59" i="329"/>
  <c r="T59" i="329"/>
  <c r="S59" i="329"/>
  <c r="Q59" i="329"/>
  <c r="K59" i="329"/>
  <c r="AB58" i="329"/>
  <c r="AA58" i="329"/>
  <c r="U58" i="329"/>
  <c r="T58" i="329"/>
  <c r="S58" i="329"/>
  <c r="Q58" i="329"/>
  <c r="K58" i="329"/>
  <c r="U57" i="329"/>
  <c r="T57" i="329"/>
  <c r="S57" i="329"/>
  <c r="Q57" i="329"/>
  <c r="K57" i="329"/>
  <c r="U56" i="329"/>
  <c r="T56" i="329"/>
  <c r="S56" i="329"/>
  <c r="Q56" i="329"/>
  <c r="K56" i="329"/>
  <c r="AL55" i="329"/>
  <c r="Y55" i="329"/>
  <c r="U55" i="329"/>
  <c r="S55" i="329"/>
  <c r="Q55" i="329"/>
  <c r="T55" i="329" s="1"/>
  <c r="K55" i="329"/>
  <c r="U54" i="329"/>
  <c r="T54" i="329"/>
  <c r="S54" i="329"/>
  <c r="Q54" i="329"/>
  <c r="K54" i="329"/>
  <c r="AM53" i="329"/>
  <c r="AM55" i="329" s="1"/>
  <c r="Y53" i="329"/>
  <c r="U53" i="329"/>
  <c r="T53" i="329"/>
  <c r="Q53" i="329"/>
  <c r="S53" i="329" s="1"/>
  <c r="K53" i="329"/>
  <c r="U52" i="329"/>
  <c r="T52" i="329"/>
  <c r="S52" i="329"/>
  <c r="Q52" i="329"/>
  <c r="K52" i="329"/>
  <c r="Y51" i="329"/>
  <c r="U51" i="329"/>
  <c r="T51" i="329"/>
  <c r="S51" i="329"/>
  <c r="K51" i="329"/>
  <c r="AB50" i="329"/>
  <c r="U50" i="329"/>
  <c r="T50" i="329"/>
  <c r="S50" i="329"/>
  <c r="Q50" i="329"/>
  <c r="K50" i="329"/>
  <c r="Y49" i="329"/>
  <c r="Z49" i="329" s="1"/>
  <c r="U49" i="329"/>
  <c r="T49" i="329"/>
  <c r="S49" i="329"/>
  <c r="Q49" i="329"/>
  <c r="K49" i="329"/>
  <c r="Y48" i="329"/>
  <c r="Z48" i="329" s="1"/>
  <c r="U48" i="329"/>
  <c r="T48" i="329"/>
  <c r="S48" i="329"/>
  <c r="Q48" i="329"/>
  <c r="K48" i="329"/>
  <c r="U47" i="329"/>
  <c r="T47" i="329"/>
  <c r="S47" i="329"/>
  <c r="Q47" i="329"/>
  <c r="K47" i="329"/>
  <c r="AF46" i="329"/>
  <c r="U46" i="329"/>
  <c r="T46" i="329"/>
  <c r="Q46" i="329"/>
  <c r="S46" i="329" s="1"/>
  <c r="K46" i="329"/>
  <c r="AB45" i="329"/>
  <c r="AA45" i="329"/>
  <c r="U45" i="329"/>
  <c r="T45" i="329"/>
  <c r="S45" i="329"/>
  <c r="Q45" i="329"/>
  <c r="K45" i="329"/>
  <c r="AE44" i="329"/>
  <c r="AE46" i="329" s="1"/>
  <c r="AB44" i="329"/>
  <c r="AA44" i="329"/>
  <c r="U44" i="329"/>
  <c r="T44" i="329"/>
  <c r="S44" i="329"/>
  <c r="Q44" i="329"/>
  <c r="K44" i="329"/>
  <c r="AB43" i="329"/>
  <c r="AA43" i="329"/>
  <c r="U43" i="329"/>
  <c r="T43" i="329"/>
  <c r="S43" i="329"/>
  <c r="Q43" i="329"/>
  <c r="K43" i="329"/>
  <c r="AA42" i="329"/>
  <c r="U42" i="329"/>
  <c r="T42" i="329"/>
  <c r="S42" i="329"/>
  <c r="Q42" i="329"/>
  <c r="K42" i="329"/>
  <c r="U41" i="329"/>
  <c r="T41" i="329"/>
  <c r="S41" i="329"/>
  <c r="Q41" i="329"/>
  <c r="K41" i="329"/>
  <c r="U40" i="329"/>
  <c r="T40" i="329"/>
  <c r="S40" i="329"/>
  <c r="K40" i="329"/>
  <c r="AH39" i="329"/>
  <c r="U39" i="329"/>
  <c r="T39" i="329"/>
  <c r="S39" i="329"/>
  <c r="Q39" i="329"/>
  <c r="K39" i="329"/>
  <c r="U38" i="329"/>
  <c r="T38" i="329"/>
  <c r="S38" i="329"/>
  <c r="Q38" i="329"/>
  <c r="K38" i="329"/>
  <c r="U37" i="329"/>
  <c r="T37" i="329"/>
  <c r="S37" i="329"/>
  <c r="Q37" i="329"/>
  <c r="K37" i="329"/>
  <c r="Z36" i="329"/>
  <c r="AA36" i="329" s="1"/>
  <c r="U36" i="329"/>
  <c r="T36" i="329"/>
  <c r="S36" i="329"/>
  <c r="Q36" i="329"/>
  <c r="K36" i="329"/>
  <c r="Z35" i="329"/>
  <c r="U35" i="329"/>
  <c r="T35" i="329"/>
  <c r="S35" i="329"/>
  <c r="Q35" i="329"/>
  <c r="K35" i="329"/>
  <c r="AI34" i="329"/>
  <c r="AH34" i="329"/>
  <c r="AC34" i="329"/>
  <c r="AC36" i="329" s="1"/>
  <c r="U34" i="329"/>
  <c r="T34" i="329"/>
  <c r="S34" i="329"/>
  <c r="Q34" i="329"/>
  <c r="K34" i="329"/>
  <c r="U33" i="329"/>
  <c r="T33" i="329"/>
  <c r="S33" i="329"/>
  <c r="Q33" i="329"/>
  <c r="K33" i="329"/>
  <c r="U32" i="329"/>
  <c r="T32" i="329"/>
  <c r="S32" i="329"/>
  <c r="Q32" i="329"/>
  <c r="K32" i="329"/>
  <c r="U31" i="329"/>
  <c r="T31" i="329"/>
  <c r="S31" i="329"/>
  <c r="Q31" i="329"/>
  <c r="K31" i="329"/>
  <c r="Z30" i="329"/>
  <c r="Z10" i="329" s="1"/>
  <c r="U30" i="329"/>
  <c r="T30" i="329"/>
  <c r="S30" i="329"/>
  <c r="Q30" i="329"/>
  <c r="K30" i="329"/>
  <c r="U29" i="329"/>
  <c r="J125" i="329" s="1"/>
  <c r="T29" i="329"/>
  <c r="S29" i="329"/>
  <c r="Q29" i="329"/>
  <c r="K29" i="329"/>
  <c r="AA28" i="329"/>
  <c r="U28" i="329"/>
  <c r="T28" i="329"/>
  <c r="S28" i="329"/>
  <c r="Q28" i="329"/>
  <c r="K28" i="329"/>
  <c r="AC27" i="329"/>
  <c r="AA27" i="329"/>
  <c r="U27" i="329"/>
  <c r="T27" i="329"/>
  <c r="S27" i="329"/>
  <c r="Q27" i="329"/>
  <c r="K27" i="329"/>
  <c r="AC26" i="329"/>
  <c r="AD26" i="329" s="1"/>
  <c r="AD27" i="329" s="1"/>
  <c r="T26" i="329"/>
  <c r="S26" i="329"/>
  <c r="Q26" i="329"/>
  <c r="U26" i="329" s="1"/>
  <c r="K26" i="329"/>
  <c r="AE25" i="329"/>
  <c r="U25" i="329"/>
  <c r="T25" i="329"/>
  <c r="Q25" i="329"/>
  <c r="S25" i="329" s="1"/>
  <c r="K25" i="329"/>
  <c r="U24" i="329"/>
  <c r="T24" i="329"/>
  <c r="S24" i="329"/>
  <c r="Q24" i="329"/>
  <c r="K24" i="329"/>
  <c r="U23" i="329"/>
  <c r="T23" i="329"/>
  <c r="S23" i="329"/>
  <c r="Q23" i="329"/>
  <c r="K23" i="329"/>
  <c r="U22" i="329"/>
  <c r="S22" i="329"/>
  <c r="Q22" i="329"/>
  <c r="T22" i="329" s="1"/>
  <c r="K22" i="329"/>
  <c r="U21" i="329"/>
  <c r="T21" i="329"/>
  <c r="S21" i="329"/>
  <c r="Q21" i="329"/>
  <c r="K21" i="329"/>
  <c r="U20" i="329"/>
  <c r="T20" i="329"/>
  <c r="Q20" i="329"/>
  <c r="S20" i="329" s="1"/>
  <c r="K20" i="329"/>
  <c r="U19" i="329"/>
  <c r="T19" i="329"/>
  <c r="S19" i="329"/>
  <c r="Q19" i="329"/>
  <c r="K19" i="329"/>
  <c r="U18" i="329"/>
  <c r="S18" i="329"/>
  <c r="AB99" i="329" s="1"/>
  <c r="Q18" i="329"/>
  <c r="T18" i="329" s="1"/>
  <c r="K18" i="329"/>
  <c r="U17" i="329"/>
  <c r="Q17" i="329"/>
  <c r="T17" i="329" s="1"/>
  <c r="K17" i="329"/>
  <c r="U16" i="329"/>
  <c r="T16" i="329"/>
  <c r="S16" i="329"/>
  <c r="K16" i="329"/>
  <c r="Z15" i="329"/>
  <c r="U15" i="329"/>
  <c r="T15" i="329"/>
  <c r="Q15" i="329"/>
  <c r="S15" i="329" s="1"/>
  <c r="K15" i="329"/>
  <c r="U14" i="329"/>
  <c r="T14" i="329"/>
  <c r="Q14" i="329"/>
  <c r="S14" i="329" s="1"/>
  <c r="K14" i="329"/>
  <c r="U13" i="329"/>
  <c r="V13" i="329" s="1"/>
  <c r="Q13" i="329"/>
  <c r="K13" i="329"/>
  <c r="AC12" i="329"/>
  <c r="AB12" i="329"/>
  <c r="AA12" i="329"/>
  <c r="U12" i="329"/>
  <c r="T12" i="329"/>
  <c r="Q12" i="329"/>
  <c r="S12" i="329" s="1"/>
  <c r="K12" i="329"/>
  <c r="AH11" i="329"/>
  <c r="AE11" i="329"/>
  <c r="AF11" i="329" s="1"/>
  <c r="AA11" i="329"/>
  <c r="U11" i="329"/>
  <c r="T11" i="329"/>
  <c r="Q11" i="329"/>
  <c r="S11" i="329" s="1"/>
  <c r="K11" i="329"/>
  <c r="AH10" i="329"/>
  <c r="AA60" i="329" s="1"/>
  <c r="AE10" i="329"/>
  <c r="AB10" i="329"/>
  <c r="AC61" i="329" s="1"/>
  <c r="U10" i="329"/>
  <c r="T10" i="329"/>
  <c r="Q10" i="329"/>
  <c r="S10" i="329" s="1"/>
  <c r="K10" i="329"/>
  <c r="AA9" i="329"/>
  <c r="U9" i="329"/>
  <c r="Q9" i="329"/>
  <c r="T9" i="329" s="1"/>
  <c r="K9" i="329"/>
  <c r="U8" i="329"/>
  <c r="T8" i="329"/>
  <c r="Q8" i="329"/>
  <c r="S8" i="329" s="1"/>
  <c r="K8" i="329"/>
  <c r="Z7" i="329"/>
  <c r="U7" i="329"/>
  <c r="Q7" i="329"/>
  <c r="I7" i="329"/>
  <c r="H7" i="329"/>
  <c r="Z6" i="329"/>
  <c r="U6" i="329"/>
  <c r="T6" i="329"/>
  <c r="Q6" i="329"/>
  <c r="S6" i="329" s="1"/>
  <c r="K6" i="329"/>
  <c r="AM5" i="329"/>
  <c r="AM6" i="329" s="1"/>
  <c r="AM8" i="329" s="1"/>
  <c r="AL5" i="329"/>
  <c r="AL6" i="329" s="1"/>
  <c r="AL8" i="329" s="1"/>
  <c r="AK5" i="329"/>
  <c r="AK6" i="329" s="1"/>
  <c r="AK8" i="329" s="1"/>
  <c r="AJ5" i="329"/>
  <c r="AJ6" i="329" s="1"/>
  <c r="AJ8" i="329" s="1"/>
  <c r="U5" i="329"/>
  <c r="S5" i="329"/>
  <c r="Q5" i="329"/>
  <c r="T5" i="329" s="1"/>
  <c r="K5" i="329"/>
  <c r="U4" i="329"/>
  <c r="S4" i="329"/>
  <c r="Q4" i="329"/>
  <c r="T4" i="329" s="1"/>
  <c r="K4" i="329"/>
  <c r="AO3" i="329"/>
  <c r="AE3" i="329"/>
  <c r="U3" i="329"/>
  <c r="S3" i="329"/>
  <c r="Q3" i="329"/>
  <c r="T3" i="329" s="1"/>
  <c r="K3" i="329"/>
  <c r="U2" i="329"/>
  <c r="T2" i="329"/>
  <c r="Q2" i="329"/>
  <c r="S2" i="329" s="1"/>
  <c r="K2" i="329"/>
  <c r="X6" i="333" l="1"/>
  <c r="W7" i="333"/>
  <c r="AE5" i="332"/>
  <c r="Z5" i="332"/>
  <c r="X3" i="332"/>
  <c r="W4" i="332"/>
  <c r="AE79" i="332"/>
  <c r="AF79" i="332" s="1"/>
  <c r="AG5" i="332"/>
  <c r="X2" i="332"/>
  <c r="AB78" i="332"/>
  <c r="Z62" i="332"/>
  <c r="Z61" i="332"/>
  <c r="AD58" i="332"/>
  <c r="AF5" i="332"/>
  <c r="AD37" i="330"/>
  <c r="X2" i="331"/>
  <c r="AE35" i="330"/>
  <c r="AE37" i="330" s="1"/>
  <c r="AF5" i="331"/>
  <c r="AD61" i="331"/>
  <c r="AD62" i="331"/>
  <c r="AE78" i="331"/>
  <c r="AN75" i="331"/>
  <c r="AN76" i="331" s="1"/>
  <c r="Z5" i="331"/>
  <c r="AD78" i="331"/>
  <c r="AB81" i="331"/>
  <c r="AG5" i="331"/>
  <c r="Z70" i="331"/>
  <c r="AB17" i="331"/>
  <c r="AE70" i="331"/>
  <c r="AE79" i="331"/>
  <c r="AF79" i="331" s="1"/>
  <c r="X3" i="331"/>
  <c r="W4" i="331"/>
  <c r="J152" i="330"/>
  <c r="I152" i="330"/>
  <c r="AC4" i="330"/>
  <c r="S107" i="330"/>
  <c r="K120" i="330"/>
  <c r="K146" i="330" s="1"/>
  <c r="K152" i="330" s="1"/>
  <c r="AB35" i="330"/>
  <c r="V105" i="330"/>
  <c r="N105" i="330"/>
  <c r="O8" i="330"/>
  <c r="O3" i="330"/>
  <c r="O27" i="330"/>
  <c r="O5" i="330"/>
  <c r="O4" i="330"/>
  <c r="O22" i="330"/>
  <c r="O10" i="330"/>
  <c r="O24" i="330"/>
  <c r="O17" i="330"/>
  <c r="O15" i="330"/>
  <c r="O14" i="330"/>
  <c r="O6" i="330"/>
  <c r="O19" i="330"/>
  <c r="O20" i="330"/>
  <c r="O16" i="330"/>
  <c r="O29" i="330"/>
  <c r="O9" i="330"/>
  <c r="O25" i="330"/>
  <c r="O11" i="330"/>
  <c r="O28" i="330"/>
  <c r="O13" i="330"/>
  <c r="O12" i="330"/>
  <c r="O2" i="330"/>
  <c r="O26" i="330"/>
  <c r="T107" i="330"/>
  <c r="AB4" i="330"/>
  <c r="Z18" i="330"/>
  <c r="Z24" i="330" s="1"/>
  <c r="W2" i="330" s="1"/>
  <c r="Z13" i="330"/>
  <c r="AA4" i="330"/>
  <c r="AA3" i="330"/>
  <c r="AB80" i="330"/>
  <c r="Z53" i="330"/>
  <c r="O7" i="330"/>
  <c r="AT18" i="329"/>
  <c r="AU18" i="329" s="1"/>
  <c r="AT12" i="329"/>
  <c r="AU12" i="329" s="1"/>
  <c r="AT13" i="329"/>
  <c r="AU13" i="329" s="1"/>
  <c r="K135" i="329"/>
  <c r="AT7" i="329"/>
  <c r="AU7" i="329" s="1"/>
  <c r="S17" i="329"/>
  <c r="V31" i="329"/>
  <c r="V32" i="329"/>
  <c r="V56" i="329"/>
  <c r="AT15" i="329"/>
  <c r="AU15" i="329" s="1"/>
  <c r="V63" i="329"/>
  <c r="V94" i="329"/>
  <c r="V96" i="329"/>
  <c r="AT17" i="329"/>
  <c r="AU17" i="329" s="1"/>
  <c r="V12" i="329"/>
  <c r="AT14" i="329"/>
  <c r="AU14" i="329" s="1"/>
  <c r="V57" i="329"/>
  <c r="AT8" i="329"/>
  <c r="AU8" i="329" s="1"/>
  <c r="V21" i="329"/>
  <c r="AT9" i="329"/>
  <c r="AU9" i="329" s="1"/>
  <c r="V41" i="329"/>
  <c r="I148" i="329"/>
  <c r="I150" i="329"/>
  <c r="AT5" i="329"/>
  <c r="AU5" i="329" s="1"/>
  <c r="V64" i="329"/>
  <c r="V43" i="329"/>
  <c r="V92" i="329"/>
  <c r="AT4" i="329"/>
  <c r="AU4" i="329" s="1"/>
  <c r="V34" i="329"/>
  <c r="AC44" i="329"/>
  <c r="V51" i="329"/>
  <c r="V69" i="329"/>
  <c r="V77" i="329"/>
  <c r="V84" i="329"/>
  <c r="X84" i="329" s="1"/>
  <c r="V89" i="329"/>
  <c r="V10" i="329"/>
  <c r="AT19" i="329"/>
  <c r="AU19" i="329" s="1"/>
  <c r="AT22" i="329"/>
  <c r="AU22" i="329" s="1"/>
  <c r="AB107" i="329"/>
  <c r="V30" i="329"/>
  <c r="V38" i="329"/>
  <c r="V40" i="329"/>
  <c r="V42" i="329"/>
  <c r="V52" i="329"/>
  <c r="V66" i="329"/>
  <c r="V71" i="329"/>
  <c r="V74" i="329"/>
  <c r="V99" i="329"/>
  <c r="J108" i="329"/>
  <c r="J148" i="329"/>
  <c r="V25" i="329"/>
  <c r="V36" i="329"/>
  <c r="V49" i="329"/>
  <c r="I142" i="329"/>
  <c r="I143" i="329"/>
  <c r="AT11" i="329"/>
  <c r="AU11" i="329" s="1"/>
  <c r="AA68" i="329"/>
  <c r="V33" i="329"/>
  <c r="AC43" i="329"/>
  <c r="AC45" i="329"/>
  <c r="V46" i="329"/>
  <c r="V59" i="329"/>
  <c r="V87" i="329"/>
  <c r="V98" i="329"/>
  <c r="V103" i="329"/>
  <c r="J116" i="329"/>
  <c r="J142" i="329" s="1"/>
  <c r="K130" i="329"/>
  <c r="K132" i="329"/>
  <c r="V19" i="329"/>
  <c r="V20" i="329"/>
  <c r="AB61" i="329"/>
  <c r="V73" i="329"/>
  <c r="J111" i="329"/>
  <c r="J141" i="329"/>
  <c r="K122" i="329"/>
  <c r="J124" i="329"/>
  <c r="J150" i="329" s="1"/>
  <c r="K134" i="329"/>
  <c r="I147" i="329"/>
  <c r="V47" i="329"/>
  <c r="V55" i="329"/>
  <c r="V75" i="329"/>
  <c r="V85" i="329"/>
  <c r="V100" i="329"/>
  <c r="S9" i="329"/>
  <c r="V9" i="329" s="1"/>
  <c r="U105" i="329"/>
  <c r="AD4" i="329" s="1"/>
  <c r="Z60" i="329" s="1"/>
  <c r="AT6" i="329"/>
  <c r="AU6" i="329" s="1"/>
  <c r="AB98" i="329"/>
  <c r="V23" i="329"/>
  <c r="AD34" i="329"/>
  <c r="AD35" i="329" s="1"/>
  <c r="V48" i="329"/>
  <c r="V50" i="329"/>
  <c r="V54" i="329"/>
  <c r="AT16" i="329"/>
  <c r="AU16" i="329" s="1"/>
  <c r="V14" i="329"/>
  <c r="V22" i="329"/>
  <c r="V27" i="329"/>
  <c r="V61" i="329"/>
  <c r="V78" i="329"/>
  <c r="V79" i="329"/>
  <c r="V81" i="329"/>
  <c r="V86" i="329"/>
  <c r="N94" i="329"/>
  <c r="O100" i="329" s="1"/>
  <c r="K128" i="329"/>
  <c r="Z14" i="329"/>
  <c r="AA10" i="329"/>
  <c r="AN74" i="329"/>
  <c r="AO73" i="329"/>
  <c r="AB94" i="329"/>
  <c r="V18" i="329"/>
  <c r="AC80" i="329"/>
  <c r="AB47" i="329"/>
  <c r="AA62" i="329"/>
  <c r="AA92" i="329"/>
  <c r="I105" i="329"/>
  <c r="I120" i="329"/>
  <c r="AB42" i="329"/>
  <c r="AC42" i="329" s="1"/>
  <c r="AH12" i="329"/>
  <c r="V8" i="329"/>
  <c r="V11" i="329"/>
  <c r="V15" i="329"/>
  <c r="V24" i="329"/>
  <c r="V26" i="329"/>
  <c r="V28" i="329"/>
  <c r="V29" i="329"/>
  <c r="V35" i="329"/>
  <c r="V37" i="329"/>
  <c r="Z37" i="329"/>
  <c r="V45" i="329"/>
  <c r="V53" i="329"/>
  <c r="V72" i="329"/>
  <c r="V3" i="329"/>
  <c r="H105" i="329"/>
  <c r="I115" i="329"/>
  <c r="AA97" i="329"/>
  <c r="S7" i="329"/>
  <c r="K7" i="329"/>
  <c r="K105" i="329" s="1"/>
  <c r="AA69" i="329"/>
  <c r="Z16" i="329"/>
  <c r="AA16" i="329" s="1"/>
  <c r="AA15" i="329"/>
  <c r="V16" i="329"/>
  <c r="AE26" i="329"/>
  <c r="AE27" i="329" s="1"/>
  <c r="N27" i="329"/>
  <c r="O44" i="329" s="1"/>
  <c r="V39" i="329"/>
  <c r="V44" i="329"/>
  <c r="N50" i="329"/>
  <c r="N56" i="329"/>
  <c r="O61" i="329" s="1"/>
  <c r="AC58" i="329"/>
  <c r="N85" i="329"/>
  <c r="O91" i="329" s="1"/>
  <c r="T7" i="329"/>
  <c r="AB92" i="329" s="1"/>
  <c r="J151" i="329"/>
  <c r="K151" i="329" s="1"/>
  <c r="K125" i="329"/>
  <c r="Q105" i="329"/>
  <c r="V2" i="329"/>
  <c r="V4" i="329"/>
  <c r="V5" i="329"/>
  <c r="V6" i="329"/>
  <c r="AB93" i="329"/>
  <c r="V17" i="329"/>
  <c r="AB36" i="329"/>
  <c r="AA61" i="329"/>
  <c r="AC78" i="329"/>
  <c r="J147" i="329"/>
  <c r="K121" i="329"/>
  <c r="AB100" i="329"/>
  <c r="AC35" i="329"/>
  <c r="V58" i="329"/>
  <c r="V60" i="329"/>
  <c r="V67" i="329"/>
  <c r="V70" i="329"/>
  <c r="I145" i="329"/>
  <c r="J119" i="329"/>
  <c r="J145" i="329" s="1"/>
  <c r="V65" i="329"/>
  <c r="N81" i="329"/>
  <c r="O83" i="329" s="1"/>
  <c r="J143" i="329"/>
  <c r="K117" i="329"/>
  <c r="AB62" i="329"/>
  <c r="V62" i="329"/>
  <c r="V68" i="329"/>
  <c r="V76" i="329"/>
  <c r="V80" i="329"/>
  <c r="V83" i="329"/>
  <c r="V88" i="329"/>
  <c r="V90" i="329"/>
  <c r="V93" i="329"/>
  <c r="V101" i="329"/>
  <c r="K123" i="329"/>
  <c r="K149" i="329" s="1"/>
  <c r="I149" i="329"/>
  <c r="K129" i="329"/>
  <c r="K137" i="329"/>
  <c r="K150" i="329" s="1"/>
  <c r="V82" i="329"/>
  <c r="V91" i="329"/>
  <c r="V95" i="329"/>
  <c r="V97" i="329"/>
  <c r="V102" i="329"/>
  <c r="K133" i="329"/>
  <c r="J118" i="329"/>
  <c r="J149" i="328"/>
  <c r="I144" i="328"/>
  <c r="K138" i="328"/>
  <c r="J138" i="328"/>
  <c r="I138" i="328"/>
  <c r="J137" i="328"/>
  <c r="I137" i="328"/>
  <c r="J136" i="328"/>
  <c r="I136" i="328"/>
  <c r="K136" i="328" s="1"/>
  <c r="J135" i="328"/>
  <c r="I135" i="328"/>
  <c r="J134" i="328"/>
  <c r="I134" i="328"/>
  <c r="J133" i="328"/>
  <c r="I133" i="328"/>
  <c r="J132" i="328"/>
  <c r="I132" i="328"/>
  <c r="J131" i="328"/>
  <c r="K131" i="328" s="1"/>
  <c r="I131" i="328"/>
  <c r="J130" i="328"/>
  <c r="I130" i="328"/>
  <c r="J129" i="328"/>
  <c r="I129" i="328"/>
  <c r="J128" i="328"/>
  <c r="I128" i="328"/>
  <c r="I125" i="328"/>
  <c r="I151" i="328" s="1"/>
  <c r="I124" i="328"/>
  <c r="J124" i="328" s="1"/>
  <c r="J123" i="328"/>
  <c r="I123" i="328"/>
  <c r="J122" i="328"/>
  <c r="I122" i="328"/>
  <c r="I148" i="328" s="1"/>
  <c r="I121" i="328"/>
  <c r="I119" i="328"/>
  <c r="J118" i="328"/>
  <c r="J144" i="328" s="1"/>
  <c r="I118" i="328"/>
  <c r="I117" i="328"/>
  <c r="I116" i="328"/>
  <c r="J116" i="328" s="1"/>
  <c r="AC115" i="328"/>
  <c r="J115" i="328"/>
  <c r="B115" i="328"/>
  <c r="I111" i="328"/>
  <c r="J110" i="328" s="1"/>
  <c r="AA107" i="328"/>
  <c r="P106" i="328"/>
  <c r="R105" i="328"/>
  <c r="P105" i="328"/>
  <c r="M105" i="328"/>
  <c r="J105" i="328"/>
  <c r="B105" i="328"/>
  <c r="U103" i="328"/>
  <c r="T103" i="328"/>
  <c r="S103" i="328"/>
  <c r="Q103" i="328"/>
  <c r="K103" i="328"/>
  <c r="U102" i="328"/>
  <c r="T102" i="328"/>
  <c r="S102" i="328"/>
  <c r="Q102" i="328"/>
  <c r="K102" i="328"/>
  <c r="U101" i="328"/>
  <c r="T101" i="328"/>
  <c r="S101" i="328"/>
  <c r="Q101" i="328"/>
  <c r="K101" i="328"/>
  <c r="AA100" i="328"/>
  <c r="U100" i="328"/>
  <c r="T100" i="328"/>
  <c r="S100" i="328"/>
  <c r="Q100" i="328"/>
  <c r="K100" i="328"/>
  <c r="AA99" i="328"/>
  <c r="U99" i="328"/>
  <c r="T99" i="328"/>
  <c r="S99" i="328"/>
  <c r="Q99" i="328"/>
  <c r="K99" i="328"/>
  <c r="AA98" i="328"/>
  <c r="U98" i="328"/>
  <c r="T98" i="328"/>
  <c r="S98" i="328"/>
  <c r="Q98" i="328"/>
  <c r="K98" i="328"/>
  <c r="U97" i="328"/>
  <c r="T97" i="328"/>
  <c r="S97" i="328"/>
  <c r="Q97" i="328"/>
  <c r="K97" i="328"/>
  <c r="U96" i="328"/>
  <c r="T96" i="328"/>
  <c r="S96" i="328"/>
  <c r="Q96" i="328"/>
  <c r="K96" i="328"/>
  <c r="AA95" i="328"/>
  <c r="U95" i="328"/>
  <c r="T95" i="328"/>
  <c r="S95" i="328"/>
  <c r="Q95" i="328"/>
  <c r="K95" i="328"/>
  <c r="AA94" i="328"/>
  <c r="U94" i="328"/>
  <c r="T94" i="328"/>
  <c r="S94" i="328"/>
  <c r="Q94" i="328"/>
  <c r="K94" i="328"/>
  <c r="AA93" i="328"/>
  <c r="U93" i="328"/>
  <c r="T93" i="328"/>
  <c r="S93" i="328"/>
  <c r="Q93" i="328"/>
  <c r="K93" i="328"/>
  <c r="U92" i="328"/>
  <c r="T92" i="328"/>
  <c r="S92" i="328"/>
  <c r="Q92" i="328"/>
  <c r="K92" i="328"/>
  <c r="U91" i="328"/>
  <c r="T91" i="328"/>
  <c r="S91" i="328"/>
  <c r="Q91" i="328"/>
  <c r="K91" i="328"/>
  <c r="U90" i="328"/>
  <c r="T90" i="328"/>
  <c r="S90" i="328"/>
  <c r="Q90" i="328"/>
  <c r="K90" i="328"/>
  <c r="U89" i="328"/>
  <c r="T89" i="328"/>
  <c r="S89" i="328"/>
  <c r="Q89" i="328"/>
  <c r="K89" i="328"/>
  <c r="U88" i="328"/>
  <c r="T88" i="328"/>
  <c r="S88" i="328"/>
  <c r="Q88" i="328"/>
  <c r="K88" i="328"/>
  <c r="AE87" i="328"/>
  <c r="AA87" i="328"/>
  <c r="Y87" i="328"/>
  <c r="U87" i="328"/>
  <c r="T87" i="328"/>
  <c r="S87" i="328"/>
  <c r="Q87" i="328"/>
  <c r="K87" i="328"/>
  <c r="AF86" i="328"/>
  <c r="AG86" i="328" s="1"/>
  <c r="AH86" i="328" s="1"/>
  <c r="AH87" i="328" s="1"/>
  <c r="AH88" i="328" s="1"/>
  <c r="U86" i="328"/>
  <c r="T86" i="328"/>
  <c r="S86" i="328"/>
  <c r="Q86" i="328"/>
  <c r="K86" i="328"/>
  <c r="U85" i="328"/>
  <c r="T85" i="328"/>
  <c r="S85" i="328"/>
  <c r="Q85" i="328"/>
  <c r="K85" i="328"/>
  <c r="U84" i="328"/>
  <c r="T84" i="328"/>
  <c r="S84" i="328"/>
  <c r="Q84" i="328"/>
  <c r="K84" i="328"/>
  <c r="U83" i="328"/>
  <c r="T83" i="328"/>
  <c r="S83" i="328"/>
  <c r="Q83" i="328"/>
  <c r="K83" i="328"/>
  <c r="U82" i="328"/>
  <c r="T82" i="328"/>
  <c r="S82" i="328"/>
  <c r="Q82" i="328"/>
  <c r="K82" i="328"/>
  <c r="AA81" i="328"/>
  <c r="AA86" i="328" s="1"/>
  <c r="AB86" i="328" s="1"/>
  <c r="AC86" i="328" s="1"/>
  <c r="AD86" i="328" s="1"/>
  <c r="AD87" i="328" s="1"/>
  <c r="AD88" i="328" s="1"/>
  <c r="Z81" i="328"/>
  <c r="U81" i="328"/>
  <c r="T81" i="328"/>
  <c r="S81" i="328"/>
  <c r="Q81" i="328"/>
  <c r="K81" i="328"/>
  <c r="AI80" i="328"/>
  <c r="U80" i="328"/>
  <c r="T80" i="328"/>
  <c r="S80" i="328"/>
  <c r="Q80" i="328"/>
  <c r="K80" i="328"/>
  <c r="AI79" i="328"/>
  <c r="U79" i="328"/>
  <c r="T79" i="328"/>
  <c r="S79" i="328"/>
  <c r="Q79" i="328"/>
  <c r="K79" i="328"/>
  <c r="AI78" i="328"/>
  <c r="U78" i="328"/>
  <c r="T78" i="328"/>
  <c r="S78" i="328"/>
  <c r="Q78" i="328"/>
  <c r="K78" i="328"/>
  <c r="U77" i="328"/>
  <c r="T77" i="328"/>
  <c r="S77" i="328"/>
  <c r="Q77" i="328"/>
  <c r="K77" i="328"/>
  <c r="U76" i="328"/>
  <c r="T76" i="328"/>
  <c r="S76" i="328"/>
  <c r="Q76" i="328"/>
  <c r="K76" i="328"/>
  <c r="U75" i="328"/>
  <c r="T75" i="328"/>
  <c r="S75" i="328"/>
  <c r="Q75" i="328"/>
  <c r="K75" i="328"/>
  <c r="U74" i="328"/>
  <c r="T74" i="328"/>
  <c r="S74" i="328"/>
  <c r="Q74" i="328"/>
  <c r="K74" i="328"/>
  <c r="AP73" i="328"/>
  <c r="AQ73" i="328" s="1"/>
  <c r="AD73" i="328"/>
  <c r="AM72" i="328" s="1"/>
  <c r="AN73" i="328" s="1"/>
  <c r="Z73" i="328"/>
  <c r="U73" i="328"/>
  <c r="T73" i="328"/>
  <c r="S73" i="328"/>
  <c r="Q73" i="328"/>
  <c r="K73" i="328"/>
  <c r="Z72" i="328"/>
  <c r="U72" i="328"/>
  <c r="T72" i="328"/>
  <c r="S72" i="328"/>
  <c r="Q72" i="328"/>
  <c r="K72" i="328"/>
  <c r="U71" i="328"/>
  <c r="T71" i="328"/>
  <c r="S71" i="328"/>
  <c r="Q71" i="328"/>
  <c r="K71" i="328"/>
  <c r="U70" i="328"/>
  <c r="T70" i="328"/>
  <c r="S70" i="328"/>
  <c r="Q70" i="328"/>
  <c r="K70" i="328"/>
  <c r="U69" i="328"/>
  <c r="T69" i="328"/>
  <c r="S69" i="328"/>
  <c r="Q69" i="328"/>
  <c r="K69" i="328"/>
  <c r="U68" i="328"/>
  <c r="T68" i="328"/>
  <c r="S68" i="328"/>
  <c r="Q68" i="328"/>
  <c r="K68" i="328"/>
  <c r="AL67" i="328"/>
  <c r="AA67" i="328"/>
  <c r="U67" i="328"/>
  <c r="T67" i="328"/>
  <c r="S67" i="328"/>
  <c r="Q67" i="328"/>
  <c r="K67" i="328"/>
  <c r="AF66" i="328"/>
  <c r="U66" i="328"/>
  <c r="T66" i="328"/>
  <c r="S66" i="328"/>
  <c r="Q66" i="328"/>
  <c r="K66" i="328"/>
  <c r="AF65" i="328"/>
  <c r="U65" i="328"/>
  <c r="T65" i="328"/>
  <c r="S65" i="328"/>
  <c r="Q65" i="328"/>
  <c r="K65" i="328"/>
  <c r="AL64" i="328"/>
  <c r="U64" i="328"/>
  <c r="T64" i="328"/>
  <c r="S64" i="328"/>
  <c r="Q64" i="328"/>
  <c r="K64" i="328"/>
  <c r="U63" i="328"/>
  <c r="T63" i="328"/>
  <c r="S63" i="328"/>
  <c r="Q63" i="328"/>
  <c r="K63" i="328"/>
  <c r="AC62" i="328"/>
  <c r="U62" i="328"/>
  <c r="T62" i="328"/>
  <c r="S62" i="328"/>
  <c r="Q62" i="328"/>
  <c r="K62" i="328"/>
  <c r="U61" i="328"/>
  <c r="T61" i="328"/>
  <c r="S61" i="328"/>
  <c r="Q61" i="328"/>
  <c r="K61" i="328"/>
  <c r="AL60" i="328"/>
  <c r="U60" i="328"/>
  <c r="T60" i="328"/>
  <c r="S60" i="328"/>
  <c r="Q60" i="328"/>
  <c r="K60" i="328"/>
  <c r="AH59" i="328"/>
  <c r="AG59" i="328"/>
  <c r="AI59" i="328" s="1"/>
  <c r="AE59" i="328"/>
  <c r="AE61" i="328" s="1"/>
  <c r="AB59" i="328"/>
  <c r="AA59" i="328"/>
  <c r="AC79" i="328" s="1"/>
  <c r="U59" i="328"/>
  <c r="T59" i="328"/>
  <c r="S59" i="328"/>
  <c r="Q59" i="328"/>
  <c r="K59" i="328"/>
  <c r="AB58" i="328"/>
  <c r="AA58" i="328"/>
  <c r="U58" i="328"/>
  <c r="T58" i="328"/>
  <c r="S58" i="328"/>
  <c r="Q58" i="328"/>
  <c r="K58" i="328"/>
  <c r="U57" i="328"/>
  <c r="T57" i="328"/>
  <c r="S57" i="328"/>
  <c r="Q57" i="328"/>
  <c r="K57" i="328"/>
  <c r="U56" i="328"/>
  <c r="T56" i="328"/>
  <c r="S56" i="328"/>
  <c r="Q56" i="328"/>
  <c r="K56" i="328"/>
  <c r="AL55" i="328"/>
  <c r="Y55" i="328"/>
  <c r="U55" i="328"/>
  <c r="S55" i="328"/>
  <c r="Q55" i="328"/>
  <c r="T55" i="328" s="1"/>
  <c r="K55" i="328"/>
  <c r="U54" i="328"/>
  <c r="T54" i="328"/>
  <c r="S54" i="328"/>
  <c r="Q54" i="328"/>
  <c r="K54" i="328"/>
  <c r="AM53" i="328"/>
  <c r="AM55" i="328" s="1"/>
  <c r="Y53" i="328"/>
  <c r="U53" i="328"/>
  <c r="T53" i="328"/>
  <c r="Q53" i="328"/>
  <c r="S53" i="328" s="1"/>
  <c r="K53" i="328"/>
  <c r="U52" i="328"/>
  <c r="T52" i="328"/>
  <c r="S52" i="328"/>
  <c r="Q52" i="328"/>
  <c r="K52" i="328"/>
  <c r="Y51" i="328"/>
  <c r="U51" i="328"/>
  <c r="T51" i="328"/>
  <c r="S51" i="328"/>
  <c r="K51" i="328"/>
  <c r="AB50" i="328"/>
  <c r="U50" i="328"/>
  <c r="T50" i="328"/>
  <c r="S50" i="328"/>
  <c r="Q50" i="328"/>
  <c r="K50" i="328"/>
  <c r="Y49" i="328"/>
  <c r="Z49" i="328" s="1"/>
  <c r="U49" i="328"/>
  <c r="T49" i="328"/>
  <c r="S49" i="328"/>
  <c r="Q49" i="328"/>
  <c r="K49" i="328"/>
  <c r="Y48" i="328"/>
  <c r="Z48" i="328" s="1"/>
  <c r="U48" i="328"/>
  <c r="T48" i="328"/>
  <c r="S48" i="328"/>
  <c r="Q48" i="328"/>
  <c r="K48" i="328"/>
  <c r="U47" i="328"/>
  <c r="T47" i="328"/>
  <c r="S47" i="328"/>
  <c r="Q47" i="328"/>
  <c r="K47" i="328"/>
  <c r="AF46" i="328"/>
  <c r="U46" i="328"/>
  <c r="T46" i="328"/>
  <c r="Q46" i="328"/>
  <c r="S46" i="328" s="1"/>
  <c r="K46" i="328"/>
  <c r="AB45" i="328"/>
  <c r="AA45" i="328"/>
  <c r="U45" i="328"/>
  <c r="T45" i="328"/>
  <c r="S45" i="328"/>
  <c r="Q45" i="328"/>
  <c r="K45" i="328"/>
  <c r="AE44" i="328"/>
  <c r="AE46" i="328" s="1"/>
  <c r="AB44" i="328"/>
  <c r="AA44" i="328"/>
  <c r="U44" i="328"/>
  <c r="T44" i="328"/>
  <c r="S44" i="328"/>
  <c r="Q44" i="328"/>
  <c r="K44" i="328"/>
  <c r="AB43" i="328"/>
  <c r="AA43" i="328"/>
  <c r="U43" i="328"/>
  <c r="T43" i="328"/>
  <c r="S43" i="328"/>
  <c r="Q43" i="328"/>
  <c r="K43" i="328"/>
  <c r="U42" i="328"/>
  <c r="T42" i="328"/>
  <c r="S42" i="328"/>
  <c r="Q42" i="328"/>
  <c r="K42" i="328"/>
  <c r="U41" i="328"/>
  <c r="T41" i="328"/>
  <c r="S41" i="328"/>
  <c r="Q41" i="328"/>
  <c r="K41" i="328"/>
  <c r="U40" i="328"/>
  <c r="T40" i="328"/>
  <c r="S40" i="328"/>
  <c r="K40" i="328"/>
  <c r="AH39" i="328"/>
  <c r="U39" i="328"/>
  <c r="T39" i="328"/>
  <c r="S39" i="328"/>
  <c r="Q39" i="328"/>
  <c r="K39" i="328"/>
  <c r="U38" i="328"/>
  <c r="T38" i="328"/>
  <c r="S38" i="328"/>
  <c r="Q38" i="328"/>
  <c r="K38" i="328"/>
  <c r="U37" i="328"/>
  <c r="T37" i="328"/>
  <c r="S37" i="328"/>
  <c r="Q37" i="328"/>
  <c r="K37" i="328"/>
  <c r="Z36" i="328"/>
  <c r="AA36" i="328" s="1"/>
  <c r="U36" i="328"/>
  <c r="T36" i="328"/>
  <c r="S36" i="328"/>
  <c r="Q36" i="328"/>
  <c r="K36" i="328"/>
  <c r="Z35" i="328"/>
  <c r="U35" i="328"/>
  <c r="T35" i="328"/>
  <c r="S35" i="328"/>
  <c r="Q35" i="328"/>
  <c r="K35" i="328"/>
  <c r="AI34" i="328"/>
  <c r="AH34" i="328"/>
  <c r="AC34" i="328"/>
  <c r="AD34" i="328" s="1"/>
  <c r="U34" i="328"/>
  <c r="T34" i="328"/>
  <c r="S34" i="328"/>
  <c r="Q34" i="328"/>
  <c r="K34" i="328"/>
  <c r="U33" i="328"/>
  <c r="T33" i="328"/>
  <c r="S33" i="328"/>
  <c r="Q33" i="328"/>
  <c r="K33" i="328"/>
  <c r="U32" i="328"/>
  <c r="T32" i="328"/>
  <c r="S32" i="328"/>
  <c r="Q32" i="328"/>
  <c r="K32" i="328"/>
  <c r="U31" i="328"/>
  <c r="T31" i="328"/>
  <c r="S31" i="328"/>
  <c r="Q31" i="328"/>
  <c r="K31" i="328"/>
  <c r="Z30" i="328"/>
  <c r="U30" i="328"/>
  <c r="T30" i="328"/>
  <c r="S30" i="328"/>
  <c r="Q30" i="328"/>
  <c r="K30" i="328"/>
  <c r="U29" i="328"/>
  <c r="J125" i="328" s="1"/>
  <c r="T29" i="328"/>
  <c r="S29" i="328"/>
  <c r="Q29" i="328"/>
  <c r="K29" i="328"/>
  <c r="AA28" i="328"/>
  <c r="U28" i="328"/>
  <c r="T28" i="328"/>
  <c r="S28" i="328"/>
  <c r="Q28" i="328"/>
  <c r="K28" i="328"/>
  <c r="AC27" i="328"/>
  <c r="AA27" i="328"/>
  <c r="U27" i="328"/>
  <c r="T27" i="328"/>
  <c r="S27" i="328"/>
  <c r="Q27" i="328"/>
  <c r="K27" i="328"/>
  <c r="AC26" i="328"/>
  <c r="AD26" i="328" s="1"/>
  <c r="AD27" i="328" s="1"/>
  <c r="T26" i="328"/>
  <c r="S26" i="328"/>
  <c r="Q26" i="328"/>
  <c r="U26" i="328" s="1"/>
  <c r="K26" i="328"/>
  <c r="AE25" i="328"/>
  <c r="U25" i="328"/>
  <c r="T25" i="328"/>
  <c r="Q25" i="328"/>
  <c r="S25" i="328" s="1"/>
  <c r="K25" i="328"/>
  <c r="U24" i="328"/>
  <c r="T24" i="328"/>
  <c r="S24" i="328"/>
  <c r="Q24" i="328"/>
  <c r="K24" i="328"/>
  <c r="U23" i="328"/>
  <c r="T23" i="328"/>
  <c r="S23" i="328"/>
  <c r="Q23" i="328"/>
  <c r="K23" i="328"/>
  <c r="U22" i="328"/>
  <c r="S22" i="328"/>
  <c r="Q22" i="328"/>
  <c r="T22" i="328" s="1"/>
  <c r="K22" i="328"/>
  <c r="U21" i="328"/>
  <c r="T21" i="328"/>
  <c r="S21" i="328"/>
  <c r="Q21" i="328"/>
  <c r="K21" i="328"/>
  <c r="U20" i="328"/>
  <c r="T20" i="328"/>
  <c r="Q20" i="328"/>
  <c r="S20" i="328" s="1"/>
  <c r="K20" i="328"/>
  <c r="U19" i="328"/>
  <c r="T19" i="328"/>
  <c r="S19" i="328"/>
  <c r="Q19" i="328"/>
  <c r="K19" i="328"/>
  <c r="U18" i="328"/>
  <c r="S18" i="328"/>
  <c r="AB99" i="328" s="1"/>
  <c r="Q18" i="328"/>
  <c r="T18" i="328" s="1"/>
  <c r="K18" i="328"/>
  <c r="U17" i="328"/>
  <c r="Q17" i="328"/>
  <c r="T17" i="328" s="1"/>
  <c r="K17" i="328"/>
  <c r="U16" i="328"/>
  <c r="T16" i="328"/>
  <c r="S16" i="328"/>
  <c r="K16" i="328"/>
  <c r="Z15" i="328"/>
  <c r="AA15" i="328" s="1"/>
  <c r="U15" i="328"/>
  <c r="T15" i="328"/>
  <c r="Q15" i="328"/>
  <c r="S15" i="328" s="1"/>
  <c r="K15" i="328"/>
  <c r="U14" i="328"/>
  <c r="T14" i="328"/>
  <c r="Q14" i="328"/>
  <c r="S14" i="328" s="1"/>
  <c r="K14" i="328"/>
  <c r="U13" i="328"/>
  <c r="Q13" i="328"/>
  <c r="K13" i="328"/>
  <c r="AC12" i="328"/>
  <c r="AB12" i="328"/>
  <c r="AA12" i="328"/>
  <c r="U12" i="328"/>
  <c r="T12" i="328"/>
  <c r="Q12" i="328"/>
  <c r="S12" i="328" s="1"/>
  <c r="K12" i="328"/>
  <c r="AH11" i="328"/>
  <c r="AE11" i="328"/>
  <c r="AF11" i="328" s="1"/>
  <c r="AA11" i="328"/>
  <c r="U11" i="328"/>
  <c r="T11" i="328"/>
  <c r="Q11" i="328"/>
  <c r="S11" i="328" s="1"/>
  <c r="K11" i="328"/>
  <c r="AH10" i="328"/>
  <c r="AA60" i="328" s="1"/>
  <c r="AE10" i="328"/>
  <c r="AB10" i="328"/>
  <c r="AC61" i="328" s="1"/>
  <c r="U10" i="328"/>
  <c r="T10" i="328"/>
  <c r="Q10" i="328"/>
  <c r="S10" i="328" s="1"/>
  <c r="K10" i="328"/>
  <c r="AA9" i="328"/>
  <c r="U9" i="328"/>
  <c r="Q9" i="328"/>
  <c r="T9" i="328" s="1"/>
  <c r="K9" i="328"/>
  <c r="U8" i="328"/>
  <c r="T8" i="328"/>
  <c r="Q8" i="328"/>
  <c r="S8" i="328" s="1"/>
  <c r="K8" i="328"/>
  <c r="Z7" i="328"/>
  <c r="U7" i="328"/>
  <c r="Q7" i="328"/>
  <c r="I7" i="328"/>
  <c r="H7" i="328"/>
  <c r="Z6" i="328"/>
  <c r="U6" i="328"/>
  <c r="T6" i="328"/>
  <c r="Q6" i="328"/>
  <c r="S6" i="328" s="1"/>
  <c r="K6" i="328"/>
  <c r="AT8" i="328" s="1"/>
  <c r="AU8" i="328" s="1"/>
  <c r="AM5" i="328"/>
  <c r="AM6" i="328" s="1"/>
  <c r="AM8" i="328" s="1"/>
  <c r="AL5" i="328"/>
  <c r="AL6" i="328" s="1"/>
  <c r="AL8" i="328" s="1"/>
  <c r="AK5" i="328"/>
  <c r="AK6" i="328" s="1"/>
  <c r="AK8" i="328" s="1"/>
  <c r="AJ5" i="328"/>
  <c r="AJ6" i="328" s="1"/>
  <c r="AJ8" i="328" s="1"/>
  <c r="U5" i="328"/>
  <c r="S5" i="328"/>
  <c r="Q5" i="328"/>
  <c r="T5" i="328" s="1"/>
  <c r="K5" i="328"/>
  <c r="U4" i="328"/>
  <c r="S4" i="328"/>
  <c r="Q4" i="328"/>
  <c r="T4" i="328" s="1"/>
  <c r="K4" i="328"/>
  <c r="AO3" i="328"/>
  <c r="AE3" i="328"/>
  <c r="U3" i="328"/>
  <c r="S3" i="328"/>
  <c r="Q3" i="328"/>
  <c r="T3" i="328" s="1"/>
  <c r="K3" i="328"/>
  <c r="U2" i="328"/>
  <c r="T2" i="328"/>
  <c r="Q2" i="328"/>
  <c r="S2" i="328" s="1"/>
  <c r="K2" i="328"/>
  <c r="P170" i="327"/>
  <c r="I170" i="327"/>
  <c r="J168" i="327"/>
  <c r="K168" i="327" s="1"/>
  <c r="J167" i="327"/>
  <c r="K167" i="327" s="1"/>
  <c r="Q162" i="327"/>
  <c r="I162" i="327"/>
  <c r="L160" i="327"/>
  <c r="J160" i="327"/>
  <c r="L159" i="327"/>
  <c r="J159" i="327"/>
  <c r="L158" i="327"/>
  <c r="J158" i="327"/>
  <c r="J149" i="327"/>
  <c r="I144" i="327"/>
  <c r="J138" i="327"/>
  <c r="I138" i="327"/>
  <c r="J137" i="327"/>
  <c r="I137" i="327"/>
  <c r="K136" i="327"/>
  <c r="J136" i="327"/>
  <c r="I136" i="327"/>
  <c r="J135" i="327"/>
  <c r="I135" i="327"/>
  <c r="J134" i="327"/>
  <c r="I134" i="327"/>
  <c r="J133" i="327"/>
  <c r="I133" i="327"/>
  <c r="J132" i="327"/>
  <c r="I132" i="327"/>
  <c r="J131" i="327"/>
  <c r="K131" i="327" s="1"/>
  <c r="I131" i="327"/>
  <c r="J130" i="327"/>
  <c r="I130" i="327"/>
  <c r="J129" i="327"/>
  <c r="I129" i="327"/>
  <c r="J128" i="327"/>
  <c r="I128" i="327"/>
  <c r="I125" i="327"/>
  <c r="I124" i="327"/>
  <c r="K123" i="327"/>
  <c r="J123" i="327"/>
  <c r="I123" i="327"/>
  <c r="I149" i="327" s="1"/>
  <c r="J122" i="327"/>
  <c r="I122" i="327"/>
  <c r="I121" i="327"/>
  <c r="I119" i="327"/>
  <c r="J118" i="327"/>
  <c r="I118" i="327"/>
  <c r="I117" i="327"/>
  <c r="I116" i="327"/>
  <c r="AC115" i="327"/>
  <c r="J115" i="327"/>
  <c r="J141" i="327" s="1"/>
  <c r="B115" i="327"/>
  <c r="I111" i="327"/>
  <c r="AA107" i="327"/>
  <c r="P106" i="327"/>
  <c r="R105" i="327"/>
  <c r="P105" i="327"/>
  <c r="M105" i="327"/>
  <c r="J105" i="327"/>
  <c r="B105" i="327"/>
  <c r="U103" i="327"/>
  <c r="T103" i="327"/>
  <c r="S103" i="327"/>
  <c r="Q103" i="327"/>
  <c r="K103" i="327"/>
  <c r="U102" i="327"/>
  <c r="T102" i="327"/>
  <c r="S102" i="327"/>
  <c r="Q102" i="327"/>
  <c r="K102" i="327"/>
  <c r="U101" i="327"/>
  <c r="T101" i="327"/>
  <c r="S101" i="327"/>
  <c r="Q101" i="327"/>
  <c r="K101" i="327"/>
  <c r="AA100" i="327"/>
  <c r="U100" i="327"/>
  <c r="T100" i="327"/>
  <c r="S100" i="327"/>
  <c r="Q100" i="327"/>
  <c r="K100" i="327"/>
  <c r="AA99" i="327"/>
  <c r="U99" i="327"/>
  <c r="T99" i="327"/>
  <c r="S99" i="327"/>
  <c r="Q99" i="327"/>
  <c r="K99" i="327"/>
  <c r="AA98" i="327"/>
  <c r="U98" i="327"/>
  <c r="T98" i="327"/>
  <c r="S98" i="327"/>
  <c r="Q98" i="327"/>
  <c r="K98" i="327"/>
  <c r="U97" i="327"/>
  <c r="T97" i="327"/>
  <c r="S97" i="327"/>
  <c r="Q97" i="327"/>
  <c r="K97" i="327"/>
  <c r="U96" i="327"/>
  <c r="T96" i="327"/>
  <c r="S96" i="327"/>
  <c r="Q96" i="327"/>
  <c r="K96" i="327"/>
  <c r="AA95" i="327"/>
  <c r="U95" i="327"/>
  <c r="T95" i="327"/>
  <c r="S95" i="327"/>
  <c r="Q95" i="327"/>
  <c r="K95" i="327"/>
  <c r="AA94" i="327"/>
  <c r="U94" i="327"/>
  <c r="T94" i="327"/>
  <c r="S94" i="327"/>
  <c r="Q94" i="327"/>
  <c r="K94" i="327"/>
  <c r="AA93" i="327"/>
  <c r="U93" i="327"/>
  <c r="T93" i="327"/>
  <c r="S93" i="327"/>
  <c r="Q93" i="327"/>
  <c r="K93" i="327"/>
  <c r="U92" i="327"/>
  <c r="T92" i="327"/>
  <c r="S92" i="327"/>
  <c r="Q92" i="327"/>
  <c r="K92" i="327"/>
  <c r="U91" i="327"/>
  <c r="T91" i="327"/>
  <c r="S91" i="327"/>
  <c r="Q91" i="327"/>
  <c r="K91" i="327"/>
  <c r="U90" i="327"/>
  <c r="T90" i="327"/>
  <c r="S90" i="327"/>
  <c r="Q90" i="327"/>
  <c r="K90" i="327"/>
  <c r="U89" i="327"/>
  <c r="T89" i="327"/>
  <c r="S89" i="327"/>
  <c r="Q89" i="327"/>
  <c r="K89" i="327"/>
  <c r="U88" i="327"/>
  <c r="T88" i="327"/>
  <c r="S88" i="327"/>
  <c r="Q88" i="327"/>
  <c r="K88" i="327"/>
  <c r="AE87" i="327"/>
  <c r="AF86" i="327" s="1"/>
  <c r="AG86" i="327" s="1"/>
  <c r="AH86" i="327" s="1"/>
  <c r="AH87" i="327" s="1"/>
  <c r="AH88" i="327" s="1"/>
  <c r="AA87" i="327"/>
  <c r="Y87" i="327"/>
  <c r="U87" i="327"/>
  <c r="T87" i="327"/>
  <c r="S87" i="327"/>
  <c r="Q87" i="327"/>
  <c r="K87" i="327"/>
  <c r="U86" i="327"/>
  <c r="T86" i="327"/>
  <c r="S86" i="327"/>
  <c r="Q86" i="327"/>
  <c r="K86" i="327"/>
  <c r="U85" i="327"/>
  <c r="T85" i="327"/>
  <c r="S85" i="327"/>
  <c r="Q85" i="327"/>
  <c r="K85" i="327"/>
  <c r="U84" i="327"/>
  <c r="T84" i="327"/>
  <c r="S84" i="327"/>
  <c r="Q84" i="327"/>
  <c r="K84" i="327"/>
  <c r="U83" i="327"/>
  <c r="T83" i="327"/>
  <c r="S83" i="327"/>
  <c r="Q83" i="327"/>
  <c r="K83" i="327"/>
  <c r="U82" i="327"/>
  <c r="T82" i="327"/>
  <c r="S82" i="327"/>
  <c r="Q82" i="327"/>
  <c r="K82" i="327"/>
  <c r="AA81" i="327"/>
  <c r="AA86" i="327" s="1"/>
  <c r="AB86" i="327" s="1"/>
  <c r="AC86" i="327" s="1"/>
  <c r="AD86" i="327" s="1"/>
  <c r="AD87" i="327" s="1"/>
  <c r="AD88" i="327" s="1"/>
  <c r="Z81" i="327"/>
  <c r="U81" i="327"/>
  <c r="T81" i="327"/>
  <c r="S81" i="327"/>
  <c r="Q81" i="327"/>
  <c r="K81" i="327"/>
  <c r="AI80" i="327"/>
  <c r="U80" i="327"/>
  <c r="T80" i="327"/>
  <c r="S80" i="327"/>
  <c r="Q80" i="327"/>
  <c r="K80" i="327"/>
  <c r="AI79" i="327"/>
  <c r="AA79" i="327"/>
  <c r="U79" i="327"/>
  <c r="T79" i="327"/>
  <c r="S79" i="327"/>
  <c r="Q79" i="327"/>
  <c r="K79" i="327"/>
  <c r="AI78" i="327"/>
  <c r="U78" i="327"/>
  <c r="T78" i="327"/>
  <c r="S78" i="327"/>
  <c r="Q78" i="327"/>
  <c r="K78" i="327"/>
  <c r="U77" i="327"/>
  <c r="T77" i="327"/>
  <c r="S77" i="327"/>
  <c r="Q77" i="327"/>
  <c r="K77" i="327"/>
  <c r="U76" i="327"/>
  <c r="T76" i="327"/>
  <c r="S76" i="327"/>
  <c r="Q76" i="327"/>
  <c r="K76" i="327"/>
  <c r="U75" i="327"/>
  <c r="T75" i="327"/>
  <c r="S75" i="327"/>
  <c r="Q75" i="327"/>
  <c r="K75" i="327"/>
  <c r="U74" i="327"/>
  <c r="T74" i="327"/>
  <c r="S74" i="327"/>
  <c r="Q74" i="327"/>
  <c r="K74" i="327"/>
  <c r="AP73" i="327"/>
  <c r="AQ73" i="327" s="1"/>
  <c r="AD73" i="327"/>
  <c r="AM72" i="327" s="1"/>
  <c r="AN73" i="327" s="1"/>
  <c r="Z73" i="327"/>
  <c r="U73" i="327"/>
  <c r="T73" i="327"/>
  <c r="S73" i="327"/>
  <c r="Q73" i="327"/>
  <c r="K73" i="327"/>
  <c r="Z72" i="327"/>
  <c r="U72" i="327"/>
  <c r="T72" i="327"/>
  <c r="S72" i="327"/>
  <c r="Q72" i="327"/>
  <c r="K72" i="327"/>
  <c r="U71" i="327"/>
  <c r="T71" i="327"/>
  <c r="S71" i="327"/>
  <c r="Q71" i="327"/>
  <c r="K71" i="327"/>
  <c r="U70" i="327"/>
  <c r="T70" i="327"/>
  <c r="S70" i="327"/>
  <c r="Q70" i="327"/>
  <c r="K70" i="327"/>
  <c r="U69" i="327"/>
  <c r="T69" i="327"/>
  <c r="S69" i="327"/>
  <c r="Q69" i="327"/>
  <c r="K69" i="327"/>
  <c r="U68" i="327"/>
  <c r="T68" i="327"/>
  <c r="S68" i="327"/>
  <c r="Q68" i="327"/>
  <c r="K68" i="327"/>
  <c r="AL67" i="327"/>
  <c r="AA67" i="327"/>
  <c r="U67" i="327"/>
  <c r="T67" i="327"/>
  <c r="S67" i="327"/>
  <c r="Q67" i="327"/>
  <c r="K67" i="327"/>
  <c r="AF66" i="327"/>
  <c r="U66" i="327"/>
  <c r="T66" i="327"/>
  <c r="S66" i="327"/>
  <c r="Q66" i="327"/>
  <c r="K66" i="327"/>
  <c r="AF65" i="327"/>
  <c r="U65" i="327"/>
  <c r="T65" i="327"/>
  <c r="S65" i="327"/>
  <c r="Q65" i="327"/>
  <c r="K65" i="327"/>
  <c r="AL64" i="327"/>
  <c r="U64" i="327"/>
  <c r="T64" i="327"/>
  <c r="S64" i="327"/>
  <c r="Q64" i="327"/>
  <c r="K64" i="327"/>
  <c r="U63" i="327"/>
  <c r="T63" i="327"/>
  <c r="S63" i="327"/>
  <c r="Q63" i="327"/>
  <c r="K63" i="327"/>
  <c r="AC62" i="327"/>
  <c r="U62" i="327"/>
  <c r="T62" i="327"/>
  <c r="S62" i="327"/>
  <c r="Q62" i="327"/>
  <c r="K62" i="327"/>
  <c r="U61" i="327"/>
  <c r="T61" i="327"/>
  <c r="S61" i="327"/>
  <c r="Q61" i="327"/>
  <c r="K61" i="327"/>
  <c r="AL60" i="327"/>
  <c r="U60" i="327"/>
  <c r="T60" i="327"/>
  <c r="S60" i="327"/>
  <c r="Q60" i="327"/>
  <c r="K60" i="327"/>
  <c r="AH59" i="327"/>
  <c r="AE59" i="327"/>
  <c r="AG59" i="327" s="1"/>
  <c r="AB59" i="327"/>
  <c r="AA59" i="327"/>
  <c r="AC79" i="327" s="1"/>
  <c r="U59" i="327"/>
  <c r="T59" i="327"/>
  <c r="S59" i="327"/>
  <c r="Q59" i="327"/>
  <c r="K59" i="327"/>
  <c r="AB58" i="327"/>
  <c r="AA58" i="327"/>
  <c r="AC78" i="327" s="1"/>
  <c r="U58" i="327"/>
  <c r="T58" i="327"/>
  <c r="S58" i="327"/>
  <c r="Q58" i="327"/>
  <c r="K58" i="327"/>
  <c r="U57" i="327"/>
  <c r="T57" i="327"/>
  <c r="S57" i="327"/>
  <c r="Q57" i="327"/>
  <c r="K57" i="327"/>
  <c r="U56" i="327"/>
  <c r="T56" i="327"/>
  <c r="S56" i="327"/>
  <c r="Q56" i="327"/>
  <c r="K56" i="327"/>
  <c r="AL55" i="327"/>
  <c r="Y55" i="327"/>
  <c r="U55" i="327"/>
  <c r="S55" i="327"/>
  <c r="Q55" i="327"/>
  <c r="T55" i="327" s="1"/>
  <c r="K55" i="327"/>
  <c r="U54" i="327"/>
  <c r="T54" i="327"/>
  <c r="S54" i="327"/>
  <c r="Q54" i="327"/>
  <c r="K54" i="327"/>
  <c r="AM53" i="327"/>
  <c r="AM55" i="327" s="1"/>
  <c r="Y53" i="327"/>
  <c r="U53" i="327"/>
  <c r="T53" i="327"/>
  <c r="Q53" i="327"/>
  <c r="S53" i="327" s="1"/>
  <c r="K53" i="327"/>
  <c r="U52" i="327"/>
  <c r="T52" i="327"/>
  <c r="S52" i="327"/>
  <c r="Q52" i="327"/>
  <c r="K52" i="327"/>
  <c r="Y51" i="327"/>
  <c r="U51" i="327"/>
  <c r="T51" i="327"/>
  <c r="S51" i="327"/>
  <c r="K51" i="327"/>
  <c r="AB50" i="327"/>
  <c r="U50" i="327"/>
  <c r="T50" i="327"/>
  <c r="S50" i="327"/>
  <c r="Q50" i="327"/>
  <c r="K50" i="327"/>
  <c r="Y49" i="327"/>
  <c r="Z49" i="327" s="1"/>
  <c r="U49" i="327"/>
  <c r="T49" i="327"/>
  <c r="S49" i="327"/>
  <c r="Q49" i="327"/>
  <c r="K49" i="327"/>
  <c r="Y48" i="327"/>
  <c r="Z48" i="327" s="1"/>
  <c r="U48" i="327"/>
  <c r="T48" i="327"/>
  <c r="S48" i="327"/>
  <c r="Q48" i="327"/>
  <c r="K48" i="327"/>
  <c r="U47" i="327"/>
  <c r="T47" i="327"/>
  <c r="S47" i="327"/>
  <c r="Q47" i="327"/>
  <c r="K47" i="327"/>
  <c r="AF46" i="327"/>
  <c r="U46" i="327"/>
  <c r="T46" i="327"/>
  <c r="Q46" i="327"/>
  <c r="S46" i="327" s="1"/>
  <c r="K46" i="327"/>
  <c r="AB45" i="327"/>
  <c r="AA45" i="327"/>
  <c r="U45" i="327"/>
  <c r="T45" i="327"/>
  <c r="S45" i="327"/>
  <c r="Q45" i="327"/>
  <c r="K45" i="327"/>
  <c r="AE44" i="327"/>
  <c r="AE46" i="327" s="1"/>
  <c r="AB44" i="327"/>
  <c r="AA44" i="327"/>
  <c r="U44" i="327"/>
  <c r="T44" i="327"/>
  <c r="S44" i="327"/>
  <c r="Q44" i="327"/>
  <c r="K44" i="327"/>
  <c r="AB43" i="327"/>
  <c r="AA43" i="327"/>
  <c r="U43" i="327"/>
  <c r="T43" i="327"/>
  <c r="S43" i="327"/>
  <c r="Q43" i="327"/>
  <c r="K43" i="327"/>
  <c r="U42" i="327"/>
  <c r="T42" i="327"/>
  <c r="S42" i="327"/>
  <c r="Q42" i="327"/>
  <c r="K42" i="327"/>
  <c r="U41" i="327"/>
  <c r="T41" i="327"/>
  <c r="S41" i="327"/>
  <c r="Q41" i="327"/>
  <c r="K41" i="327"/>
  <c r="U40" i="327"/>
  <c r="T40" i="327"/>
  <c r="S40" i="327"/>
  <c r="K40" i="327"/>
  <c r="AH39" i="327"/>
  <c r="U39" i="327"/>
  <c r="T39" i="327"/>
  <c r="S39" i="327"/>
  <c r="Q39" i="327"/>
  <c r="K39" i="327"/>
  <c r="U38" i="327"/>
  <c r="T38" i="327"/>
  <c r="S38" i="327"/>
  <c r="Q38" i="327"/>
  <c r="K38" i="327"/>
  <c r="U37" i="327"/>
  <c r="T37" i="327"/>
  <c r="S37" i="327"/>
  <c r="Q37" i="327"/>
  <c r="K37" i="327"/>
  <c r="Z36" i="327"/>
  <c r="AA36" i="327" s="1"/>
  <c r="AB36" i="327" s="1"/>
  <c r="U36" i="327"/>
  <c r="T36" i="327"/>
  <c r="S36" i="327"/>
  <c r="Q36" i="327"/>
  <c r="K36" i="327"/>
  <c r="Z35" i="327"/>
  <c r="U35" i="327"/>
  <c r="T35" i="327"/>
  <c r="S35" i="327"/>
  <c r="Q35" i="327"/>
  <c r="K35" i="327"/>
  <c r="AI34" i="327"/>
  <c r="AH34" i="327"/>
  <c r="AC34" i="327"/>
  <c r="AD34" i="327" s="1"/>
  <c r="U34" i="327"/>
  <c r="T34" i="327"/>
  <c r="S34" i="327"/>
  <c r="Q34" i="327"/>
  <c r="K34" i="327"/>
  <c r="U33" i="327"/>
  <c r="T33" i="327"/>
  <c r="S33" i="327"/>
  <c r="Q33" i="327"/>
  <c r="K33" i="327"/>
  <c r="U32" i="327"/>
  <c r="T32" i="327"/>
  <c r="S32" i="327"/>
  <c r="Q32" i="327"/>
  <c r="K32" i="327"/>
  <c r="U31" i="327"/>
  <c r="T31" i="327"/>
  <c r="S31" i="327"/>
  <c r="Q31" i="327"/>
  <c r="K31" i="327"/>
  <c r="Z30" i="327"/>
  <c r="Z10" i="327" s="1"/>
  <c r="Z14" i="327" s="1"/>
  <c r="AA3" i="327" s="1"/>
  <c r="AG3" i="327" s="1"/>
  <c r="U30" i="327"/>
  <c r="T30" i="327"/>
  <c r="S30" i="327"/>
  <c r="Q30" i="327"/>
  <c r="K30" i="327"/>
  <c r="U29" i="327"/>
  <c r="J125" i="327" s="1"/>
  <c r="T29" i="327"/>
  <c r="S29" i="327"/>
  <c r="Q29" i="327"/>
  <c r="K29" i="327"/>
  <c r="AA28" i="327"/>
  <c r="U28" i="327"/>
  <c r="T28" i="327"/>
  <c r="S28" i="327"/>
  <c r="Q28" i="327"/>
  <c r="K28" i="327"/>
  <c r="AC27" i="327"/>
  <c r="AA27" i="327"/>
  <c r="U27" i="327"/>
  <c r="T27" i="327"/>
  <c r="S27" i="327"/>
  <c r="Q27" i="327"/>
  <c r="K27" i="327"/>
  <c r="AC26" i="327"/>
  <c r="AE26" i="327" s="1"/>
  <c r="T26" i="327"/>
  <c r="S26" i="327"/>
  <c r="Q26" i="327"/>
  <c r="U26" i="327" s="1"/>
  <c r="K26" i="327"/>
  <c r="AE25" i="327"/>
  <c r="U25" i="327"/>
  <c r="T25" i="327"/>
  <c r="Q25" i="327"/>
  <c r="S25" i="327" s="1"/>
  <c r="K25" i="327"/>
  <c r="U24" i="327"/>
  <c r="T24" i="327"/>
  <c r="S24" i="327"/>
  <c r="Q24" i="327"/>
  <c r="K24" i="327"/>
  <c r="U23" i="327"/>
  <c r="T23" i="327"/>
  <c r="S23" i="327"/>
  <c r="Q23" i="327"/>
  <c r="K23" i="327"/>
  <c r="U22" i="327"/>
  <c r="S22" i="327"/>
  <c r="Q22" i="327"/>
  <c r="T22" i="327" s="1"/>
  <c r="K22" i="327"/>
  <c r="AT14" i="327" s="1"/>
  <c r="AU14" i="327" s="1"/>
  <c r="U21" i="327"/>
  <c r="T21" i="327"/>
  <c r="S21" i="327"/>
  <c r="Q21" i="327"/>
  <c r="K21" i="327"/>
  <c r="U20" i="327"/>
  <c r="T20" i="327"/>
  <c r="Q20" i="327"/>
  <c r="S20" i="327" s="1"/>
  <c r="K20" i="327"/>
  <c r="U19" i="327"/>
  <c r="T19" i="327"/>
  <c r="S19" i="327"/>
  <c r="Q19" i="327"/>
  <c r="K19" i="327"/>
  <c r="U18" i="327"/>
  <c r="S18" i="327"/>
  <c r="AB99" i="327" s="1"/>
  <c r="Q18" i="327"/>
  <c r="T18" i="327" s="1"/>
  <c r="AB94" i="327" s="1"/>
  <c r="K18" i="327"/>
  <c r="U17" i="327"/>
  <c r="Q17" i="327"/>
  <c r="S17" i="327" s="1"/>
  <c r="K17" i="327"/>
  <c r="U16" i="327"/>
  <c r="T16" i="327"/>
  <c r="S16" i="327"/>
  <c r="K16" i="327"/>
  <c r="Z15" i="327"/>
  <c r="U15" i="327"/>
  <c r="T15" i="327"/>
  <c r="Q15" i="327"/>
  <c r="S15" i="327" s="1"/>
  <c r="K15" i="327"/>
  <c r="U14" i="327"/>
  <c r="T14" i="327"/>
  <c r="Q14" i="327"/>
  <c r="S14" i="327" s="1"/>
  <c r="K14" i="327"/>
  <c r="U13" i="327"/>
  <c r="T13" i="327"/>
  <c r="Q13" i="327"/>
  <c r="S13" i="327" s="1"/>
  <c r="K13" i="327"/>
  <c r="AC12" i="327"/>
  <c r="AB12" i="327"/>
  <c r="AA12" i="327"/>
  <c r="U12" i="327"/>
  <c r="T12" i="327"/>
  <c r="Q12" i="327"/>
  <c r="S12" i="327" s="1"/>
  <c r="K12" i="327"/>
  <c r="AH11" i="327"/>
  <c r="AE11" i="327"/>
  <c r="AF11" i="327" s="1"/>
  <c r="AA11" i="327"/>
  <c r="U11" i="327"/>
  <c r="T11" i="327"/>
  <c r="Q11" i="327"/>
  <c r="S11" i="327" s="1"/>
  <c r="K11" i="327"/>
  <c r="AH10" i="327"/>
  <c r="AA60" i="327" s="1"/>
  <c r="AE10" i="327"/>
  <c r="AB10" i="327"/>
  <c r="AC58" i="327" s="1"/>
  <c r="U10" i="327"/>
  <c r="T10" i="327"/>
  <c r="Q10" i="327"/>
  <c r="S10" i="327" s="1"/>
  <c r="K10" i="327"/>
  <c r="AA9" i="327"/>
  <c r="U9" i="327"/>
  <c r="Q9" i="327"/>
  <c r="S9" i="327" s="1"/>
  <c r="K9" i="327"/>
  <c r="U8" i="327"/>
  <c r="T8" i="327"/>
  <c r="Q8" i="327"/>
  <c r="S8" i="327" s="1"/>
  <c r="K8" i="327"/>
  <c r="Z7" i="327"/>
  <c r="U7" i="327"/>
  <c r="Q7" i="327"/>
  <c r="S7" i="327" s="1"/>
  <c r="K7" i="327"/>
  <c r="I7" i="327"/>
  <c r="AB42" i="327" s="1"/>
  <c r="H7" i="327"/>
  <c r="Z6" i="327"/>
  <c r="U6" i="327"/>
  <c r="T6" i="327"/>
  <c r="Q6" i="327"/>
  <c r="S6" i="327" s="1"/>
  <c r="K6" i="327"/>
  <c r="AM5" i="327"/>
  <c r="AM6" i="327" s="1"/>
  <c r="AM8" i="327" s="1"/>
  <c r="AL5" i="327"/>
  <c r="AL6" i="327" s="1"/>
  <c r="AL8" i="327" s="1"/>
  <c r="AK5" i="327"/>
  <c r="AK6" i="327" s="1"/>
  <c r="AK8" i="327" s="1"/>
  <c r="AJ5" i="327"/>
  <c r="AJ6" i="327" s="1"/>
  <c r="AJ8" i="327" s="1"/>
  <c r="U5" i="327"/>
  <c r="S5" i="327"/>
  <c r="Q5" i="327"/>
  <c r="T5" i="327" s="1"/>
  <c r="K5" i="327"/>
  <c r="U4" i="327"/>
  <c r="S4" i="327"/>
  <c r="Q4" i="327"/>
  <c r="T4" i="327" s="1"/>
  <c r="K4" i="327"/>
  <c r="AO3" i="327"/>
  <c r="AE3" i="327"/>
  <c r="U3" i="327"/>
  <c r="S3" i="327"/>
  <c r="Q3" i="327"/>
  <c r="T3" i="327" s="1"/>
  <c r="K3" i="327"/>
  <c r="U2" i="327"/>
  <c r="T2" i="327"/>
  <c r="Q2" i="327"/>
  <c r="S2" i="327" s="1"/>
  <c r="K2" i="327"/>
  <c r="W8" i="333" l="1"/>
  <c r="X7" i="333"/>
  <c r="AB81" i="332"/>
  <c r="AD78" i="332"/>
  <c r="AE78" i="332"/>
  <c r="AN75" i="332"/>
  <c r="AN76" i="332" s="1"/>
  <c r="AD62" i="332"/>
  <c r="AD61" i="332"/>
  <c r="X4" i="332"/>
  <c r="W5" i="332"/>
  <c r="AE70" i="332"/>
  <c r="Z70" i="332"/>
  <c r="AB17" i="332"/>
  <c r="X4" i="331"/>
  <c r="W5" i="331"/>
  <c r="AE81" i="331"/>
  <c r="AF78" i="331"/>
  <c r="AF81" i="331" s="1"/>
  <c r="AK75" i="331"/>
  <c r="AD81" i="331"/>
  <c r="AA5" i="330"/>
  <c r="AG3" i="330"/>
  <c r="Z58" i="330"/>
  <c r="AE4" i="330"/>
  <c r="AF4" i="330" s="1"/>
  <c r="AB5" i="330"/>
  <c r="Z59" i="330"/>
  <c r="AC5" i="330"/>
  <c r="L2" i="330"/>
  <c r="L3" i="330" s="1"/>
  <c r="L4" i="330" s="1"/>
  <c r="L5" i="330" s="1"/>
  <c r="L6" i="330" s="1"/>
  <c r="L7" i="330" s="1"/>
  <c r="L8" i="330" s="1"/>
  <c r="L9" i="330" s="1"/>
  <c r="L10" i="330" s="1"/>
  <c r="L11" i="330" s="1"/>
  <c r="L12" i="330" s="1"/>
  <c r="L13" i="330" s="1"/>
  <c r="L14" i="330" s="1"/>
  <c r="L15" i="330" s="1"/>
  <c r="L16" i="330" s="1"/>
  <c r="L17" i="330" s="1"/>
  <c r="L18" i="330" s="1"/>
  <c r="L19" i="330" s="1"/>
  <c r="L20" i="330" s="1"/>
  <c r="L21" i="330" s="1"/>
  <c r="L22" i="330" s="1"/>
  <c r="L23" i="330" s="1"/>
  <c r="L24" i="330" s="1"/>
  <c r="L25" i="330" s="1"/>
  <c r="L26" i="330" s="1"/>
  <c r="L27" i="330" s="1"/>
  <c r="L28" i="330" s="1"/>
  <c r="L29" i="330" s="1"/>
  <c r="L30" i="330" s="1"/>
  <c r="L31" i="330" s="1"/>
  <c r="L32" i="330" s="1"/>
  <c r="L33" i="330" s="1"/>
  <c r="L34" i="330" s="1"/>
  <c r="L35" i="330" s="1"/>
  <c r="L36" i="330" s="1"/>
  <c r="L37" i="330" s="1"/>
  <c r="L38" i="330" s="1"/>
  <c r="L39" i="330" s="1"/>
  <c r="L40" i="330" s="1"/>
  <c r="L41" i="330" s="1"/>
  <c r="L42" i="330" s="1"/>
  <c r="L43" i="330" s="1"/>
  <c r="L44" i="330" s="1"/>
  <c r="L45" i="330" s="1"/>
  <c r="L46" i="330" s="1"/>
  <c r="L47" i="330" s="1"/>
  <c r="L48" i="330" s="1"/>
  <c r="L49" i="330" s="1"/>
  <c r="L50" i="330" s="1"/>
  <c r="L51" i="330" s="1"/>
  <c r="L52" i="330" s="1"/>
  <c r="L53" i="330" s="1"/>
  <c r="L54" i="330" s="1"/>
  <c r="L55" i="330" s="1"/>
  <c r="L56" i="330" s="1"/>
  <c r="L57" i="330" s="1"/>
  <c r="L58" i="330" s="1"/>
  <c r="L59" i="330" s="1"/>
  <c r="L60" i="330" s="1"/>
  <c r="L61" i="330" s="1"/>
  <c r="L62" i="330" s="1"/>
  <c r="L63" i="330" s="1"/>
  <c r="L64" i="330" s="1"/>
  <c r="L65" i="330" s="1"/>
  <c r="L66" i="330" s="1"/>
  <c r="L67" i="330" s="1"/>
  <c r="L68" i="330" s="1"/>
  <c r="L69" i="330" s="1"/>
  <c r="L70" i="330" s="1"/>
  <c r="L71" i="330" s="1"/>
  <c r="L72" i="330" s="1"/>
  <c r="L73" i="330" s="1"/>
  <c r="L74" i="330" s="1"/>
  <c r="L75" i="330" s="1"/>
  <c r="L76" i="330" s="1"/>
  <c r="L77" i="330" s="1"/>
  <c r="L78" i="330" s="1"/>
  <c r="L79" i="330" s="1"/>
  <c r="L80" i="330" s="1"/>
  <c r="L81" i="330" s="1"/>
  <c r="L82" i="330" s="1"/>
  <c r="L83" i="330" s="1"/>
  <c r="L84" i="330" s="1"/>
  <c r="L85" i="330" s="1"/>
  <c r="L86" i="330" s="1"/>
  <c r="L87" i="330" s="1"/>
  <c r="L88" i="330" s="1"/>
  <c r="L89" i="330" s="1"/>
  <c r="L90" i="330" s="1"/>
  <c r="L91" i="330" s="1"/>
  <c r="L92" i="330" s="1"/>
  <c r="L93" i="330" s="1"/>
  <c r="L94" i="330" s="1"/>
  <c r="L95" i="330" s="1"/>
  <c r="L96" i="330" s="1"/>
  <c r="L97" i="330" s="1"/>
  <c r="L98" i="330" s="1"/>
  <c r="L99" i="330" s="1"/>
  <c r="L100" i="330" s="1"/>
  <c r="L101" i="330" s="1"/>
  <c r="L102" i="330" s="1"/>
  <c r="L103" i="330" s="1"/>
  <c r="L105" i="330" s="1"/>
  <c r="AG4" i="330"/>
  <c r="Z4" i="330"/>
  <c r="Z3" i="330"/>
  <c r="W3" i="330"/>
  <c r="K148" i="329"/>
  <c r="O102" i="329"/>
  <c r="K143" i="329"/>
  <c r="O103" i="329"/>
  <c r="O96" i="329"/>
  <c r="O98" i="329"/>
  <c r="T105" i="329"/>
  <c r="AB4" i="329" s="1"/>
  <c r="Z58" i="329" s="1"/>
  <c r="AD36" i="329"/>
  <c r="AD37" i="329" s="1"/>
  <c r="O94" i="329"/>
  <c r="AD5" i="329"/>
  <c r="AA34" i="329" s="1"/>
  <c r="AB34" i="329" s="1"/>
  <c r="K116" i="329"/>
  <c r="K142" i="329" s="1"/>
  <c r="O95" i="329"/>
  <c r="O101" i="329"/>
  <c r="O99" i="329"/>
  <c r="O67" i="329"/>
  <c r="O59" i="329"/>
  <c r="O97" i="329"/>
  <c r="AD28" i="329"/>
  <c r="O63" i="329"/>
  <c r="AE34" i="329"/>
  <c r="K147" i="329"/>
  <c r="AF10" i="329"/>
  <c r="AF9" i="329" s="1"/>
  <c r="AA35" i="329"/>
  <c r="AA37" i="329" s="1"/>
  <c r="AB37" i="329" s="1"/>
  <c r="O84" i="329"/>
  <c r="O74" i="329"/>
  <c r="AC81" i="329"/>
  <c r="O87" i="329"/>
  <c r="AB95" i="329"/>
  <c r="O85" i="329"/>
  <c r="V7" i="329"/>
  <c r="V105" i="329" s="1"/>
  <c r="N2" i="329"/>
  <c r="O29" i="329" s="1"/>
  <c r="O92" i="329"/>
  <c r="AB97" i="329"/>
  <c r="O49" i="329"/>
  <c r="AE35" i="329"/>
  <c r="AC37" i="329"/>
  <c r="O90" i="329"/>
  <c r="O89" i="329"/>
  <c r="O88" i="329"/>
  <c r="O32" i="329"/>
  <c r="I146" i="329"/>
  <c r="J120" i="329"/>
  <c r="J146" i="329" s="1"/>
  <c r="O41" i="329"/>
  <c r="O69" i="329"/>
  <c r="O82" i="329"/>
  <c r="O81" i="329"/>
  <c r="O56" i="329"/>
  <c r="K119" i="329"/>
  <c r="K145" i="329" s="1"/>
  <c r="O65" i="329"/>
  <c r="I141" i="329"/>
  <c r="K115" i="329"/>
  <c r="K141" i="329" s="1"/>
  <c r="O43" i="329"/>
  <c r="O39" i="329"/>
  <c r="K118" i="329"/>
  <c r="K144" i="329" s="1"/>
  <c r="J144" i="329"/>
  <c r="O33" i="329"/>
  <c r="O31" i="329"/>
  <c r="O47" i="329"/>
  <c r="O46" i="329"/>
  <c r="O55" i="329"/>
  <c r="O53" i="329"/>
  <c r="O45" i="329"/>
  <c r="O37" i="329"/>
  <c r="O35" i="329"/>
  <c r="O42" i="329"/>
  <c r="O38" i="329"/>
  <c r="O36" i="329"/>
  <c r="O50" i="329"/>
  <c r="O54" i="329"/>
  <c r="O86" i="329"/>
  <c r="O80" i="329"/>
  <c r="O66" i="329"/>
  <c r="O64" i="329"/>
  <c r="O71" i="329"/>
  <c r="O70" i="329"/>
  <c r="O60" i="329"/>
  <c r="O58" i="329"/>
  <c r="O57" i="329"/>
  <c r="O77" i="329"/>
  <c r="O75" i="329"/>
  <c r="O68" i="329"/>
  <c r="O73" i="329"/>
  <c r="O72" i="329"/>
  <c r="O78" i="329"/>
  <c r="O76" i="329"/>
  <c r="O62" i="329"/>
  <c r="O79" i="329"/>
  <c r="AT10" i="329"/>
  <c r="AU10" i="329" s="1"/>
  <c r="O93" i="329"/>
  <c r="O34" i="329"/>
  <c r="S105" i="329"/>
  <c r="AC4" i="329" s="1"/>
  <c r="O30" i="329"/>
  <c r="AD60" i="329"/>
  <c r="AE80" i="329" s="1"/>
  <c r="Z53" i="329"/>
  <c r="AB80" i="329"/>
  <c r="AD80" i="329" s="1"/>
  <c r="AK77" i="329" s="1"/>
  <c r="AL77" i="329" s="1"/>
  <c r="AA4" i="329"/>
  <c r="AA3" i="329"/>
  <c r="Z18" i="329"/>
  <c r="Z24" i="329" s="1"/>
  <c r="W2" i="329" s="1"/>
  <c r="Z13" i="329"/>
  <c r="V50" i="328"/>
  <c r="AT9" i="328"/>
  <c r="AU9" i="328" s="1"/>
  <c r="AC35" i="328"/>
  <c r="J150" i="328"/>
  <c r="AC36" i="328"/>
  <c r="AC43" i="328"/>
  <c r="V54" i="328"/>
  <c r="V55" i="328"/>
  <c r="V82" i="328"/>
  <c r="V21" i="328"/>
  <c r="V32" i="328"/>
  <c r="V48" i="328"/>
  <c r="V53" i="328"/>
  <c r="AT16" i="328"/>
  <c r="AU16" i="328" s="1"/>
  <c r="V11" i="328"/>
  <c r="V23" i="328"/>
  <c r="V31" i="328"/>
  <c r="V87" i="328"/>
  <c r="V88" i="328"/>
  <c r="Z37" i="328"/>
  <c r="AB36" i="328"/>
  <c r="V73" i="328"/>
  <c r="V74" i="328"/>
  <c r="V78" i="328"/>
  <c r="V95" i="328"/>
  <c r="V96" i="328"/>
  <c r="V101" i="328"/>
  <c r="I143" i="328"/>
  <c r="K130" i="328"/>
  <c r="V67" i="328"/>
  <c r="V80" i="328"/>
  <c r="V81" i="328"/>
  <c r="V97" i="328"/>
  <c r="K129" i="328"/>
  <c r="V65" i="328"/>
  <c r="V33" i="328"/>
  <c r="V41" i="328"/>
  <c r="AC44" i="328"/>
  <c r="V56" i="328"/>
  <c r="V58" i="328"/>
  <c r="V68" i="328"/>
  <c r="V72" i="328"/>
  <c r="V90" i="328"/>
  <c r="J142" i="328"/>
  <c r="K132" i="328"/>
  <c r="K134" i="328"/>
  <c r="V47" i="328"/>
  <c r="V79" i="328"/>
  <c r="AT7" i="328"/>
  <c r="AU7" i="328" s="1"/>
  <c r="AT19" i="328"/>
  <c r="AU19" i="328" s="1"/>
  <c r="AT15" i="328"/>
  <c r="AU15" i="328" s="1"/>
  <c r="V34" i="328"/>
  <c r="V43" i="328"/>
  <c r="AT14" i="328"/>
  <c r="AU14" i="328" s="1"/>
  <c r="V59" i="328"/>
  <c r="AB62" i="328"/>
  <c r="V61" i="328"/>
  <c r="V71" i="328"/>
  <c r="V75" i="328"/>
  <c r="V93" i="328"/>
  <c r="K135" i="328"/>
  <c r="I142" i="328"/>
  <c r="AD36" i="328"/>
  <c r="AE34" i="328"/>
  <c r="I150" i="328"/>
  <c r="AT6" i="328"/>
  <c r="AU6" i="328" s="1"/>
  <c r="V40" i="328"/>
  <c r="V57" i="328"/>
  <c r="V63" i="328"/>
  <c r="J148" i="328"/>
  <c r="V10" i="328"/>
  <c r="AA68" i="328"/>
  <c r="V38" i="328"/>
  <c r="V44" i="328"/>
  <c r="V52" i="328"/>
  <c r="V60" i="328"/>
  <c r="V76" i="328"/>
  <c r="N81" i="328"/>
  <c r="O82" i="328" s="1"/>
  <c r="V86" i="328"/>
  <c r="V91" i="328"/>
  <c r="N94" i="328"/>
  <c r="O103" i="328" s="1"/>
  <c r="V14" i="328"/>
  <c r="AB107" i="328"/>
  <c r="N27" i="328"/>
  <c r="O42" i="328" s="1"/>
  <c r="V30" i="328"/>
  <c r="V39" i="328"/>
  <c r="V45" i="328"/>
  <c r="V49" i="328"/>
  <c r="V51" i="328"/>
  <c r="V62" i="328"/>
  <c r="V70" i="328"/>
  <c r="V77" i="328"/>
  <c r="V83" i="328"/>
  <c r="V89" i="328"/>
  <c r="V92" i="328"/>
  <c r="V94" i="328"/>
  <c r="V98" i="328"/>
  <c r="V102" i="328"/>
  <c r="V103" i="328"/>
  <c r="J141" i="328"/>
  <c r="I147" i="328"/>
  <c r="K128" i="328"/>
  <c r="K137" i="328"/>
  <c r="K150" i="328" s="1"/>
  <c r="S9" i="328"/>
  <c r="V9" i="328" s="1"/>
  <c r="V8" i="328"/>
  <c r="AB95" i="328"/>
  <c r="V2" i="328"/>
  <c r="V3" i="328"/>
  <c r="AC45" i="328"/>
  <c r="V22" i="328"/>
  <c r="V15" i="328"/>
  <c r="S17" i="328"/>
  <c r="V17" i="328" s="1"/>
  <c r="V24" i="328"/>
  <c r="V25" i="328"/>
  <c r="V27" i="328"/>
  <c r="V26" i="328"/>
  <c r="V4" i="328"/>
  <c r="V5" i="328"/>
  <c r="V19" i="328"/>
  <c r="V20" i="328"/>
  <c r="AB94" i="328"/>
  <c r="V18" i="328"/>
  <c r="AT13" i="328"/>
  <c r="AU13" i="328" s="1"/>
  <c r="U105" i="328"/>
  <c r="AD4" i="328" s="1"/>
  <c r="AA97" i="328"/>
  <c r="H105" i="328"/>
  <c r="I115" i="328"/>
  <c r="S7" i="328"/>
  <c r="K7" i="328"/>
  <c r="K105" i="328" s="1"/>
  <c r="Z10" i="328"/>
  <c r="AT11" i="328"/>
  <c r="AU11" i="328" s="1"/>
  <c r="AB93" i="328"/>
  <c r="Z16" i="328"/>
  <c r="AA16" i="328" s="1"/>
  <c r="AT17" i="328"/>
  <c r="AU17" i="328" s="1"/>
  <c r="V29" i="328"/>
  <c r="AD35" i="328"/>
  <c r="AD37" i="328" s="1"/>
  <c r="V36" i="328"/>
  <c r="N56" i="328"/>
  <c r="O60" i="328" s="1"/>
  <c r="AT22" i="328"/>
  <c r="AU22" i="328" s="1"/>
  <c r="Q105" i="328"/>
  <c r="AT5" i="328"/>
  <c r="AU5" i="328" s="1"/>
  <c r="I105" i="328"/>
  <c r="I120" i="328"/>
  <c r="AA92" i="328"/>
  <c r="AB42" i="328"/>
  <c r="T7" i="328"/>
  <c r="AB92" i="328" s="1"/>
  <c r="AC80" i="328"/>
  <c r="AB47" i="328"/>
  <c r="V12" i="328"/>
  <c r="AH12" i="328"/>
  <c r="AA69" i="328"/>
  <c r="AT18" i="328"/>
  <c r="AU18" i="328" s="1"/>
  <c r="AE26" i="328"/>
  <c r="AE27" i="328" s="1"/>
  <c r="V35" i="328"/>
  <c r="AA42" i="328"/>
  <c r="AT4" i="328"/>
  <c r="AU4" i="328" s="1"/>
  <c r="V6" i="328"/>
  <c r="AT12" i="328"/>
  <c r="AU12" i="328" s="1"/>
  <c r="V16" i="328"/>
  <c r="V28" i="328"/>
  <c r="K125" i="328"/>
  <c r="J151" i="328"/>
  <c r="K151" i="328" s="1"/>
  <c r="N50" i="328"/>
  <c r="AC58" i="328"/>
  <c r="AB98" i="328"/>
  <c r="V37" i="328"/>
  <c r="V42" i="328"/>
  <c r="AA61" i="328"/>
  <c r="AO73" i="328"/>
  <c r="AN74" i="328"/>
  <c r="V46" i="328"/>
  <c r="V69" i="328"/>
  <c r="V84" i="328"/>
  <c r="X84" i="328" s="1"/>
  <c r="V99" i="328"/>
  <c r="V100" i="328"/>
  <c r="K116" i="328"/>
  <c r="K123" i="328"/>
  <c r="K149" i="328" s="1"/>
  <c r="I149" i="328"/>
  <c r="K133" i="328"/>
  <c r="AB61" i="328"/>
  <c r="V64" i="328"/>
  <c r="V66" i="328"/>
  <c r="N85" i="328"/>
  <c r="O86" i="328" s="1"/>
  <c r="I145" i="328"/>
  <c r="J119" i="328"/>
  <c r="J145" i="328" s="1"/>
  <c r="AA62" i="328"/>
  <c r="AC78" i="328"/>
  <c r="V85" i="328"/>
  <c r="J108" i="328"/>
  <c r="J111" i="328" s="1"/>
  <c r="J117" i="328"/>
  <c r="K118" i="328"/>
  <c r="K144" i="328" s="1"/>
  <c r="J121" i="328"/>
  <c r="K122" i="328"/>
  <c r="T17" i="327"/>
  <c r="K129" i="327"/>
  <c r="T9" i="327"/>
  <c r="I148" i="327"/>
  <c r="V78" i="327"/>
  <c r="N81" i="327"/>
  <c r="O82" i="327" s="1"/>
  <c r="V25" i="327"/>
  <c r="AT16" i="327"/>
  <c r="AU16" i="327" s="1"/>
  <c r="AB61" i="327"/>
  <c r="V84" i="327"/>
  <c r="X84" i="327" s="1"/>
  <c r="V103" i="327"/>
  <c r="K135" i="327"/>
  <c r="V51" i="327"/>
  <c r="K132" i="327"/>
  <c r="AT9" i="327"/>
  <c r="AU9" i="327" s="1"/>
  <c r="V35" i="327"/>
  <c r="V64" i="327"/>
  <c r="V75" i="327"/>
  <c r="V13" i="327"/>
  <c r="AT13" i="327"/>
  <c r="AU13" i="327" s="1"/>
  <c r="V27" i="327"/>
  <c r="V41" i="327"/>
  <c r="V42" i="327"/>
  <c r="V59" i="327"/>
  <c r="V68" i="327"/>
  <c r="V72" i="327"/>
  <c r="I145" i="327"/>
  <c r="T7" i="327"/>
  <c r="V7" i="327" s="1"/>
  <c r="V19" i="327"/>
  <c r="AB107" i="327"/>
  <c r="V36" i="327"/>
  <c r="K128" i="327"/>
  <c r="AT5" i="327"/>
  <c r="AU5" i="327" s="1"/>
  <c r="V5" i="327"/>
  <c r="AT10" i="327"/>
  <c r="AU10" i="327" s="1"/>
  <c r="V12" i="327"/>
  <c r="V20" i="327"/>
  <c r="V24" i="327"/>
  <c r="V29" i="327"/>
  <c r="V38" i="327"/>
  <c r="V39" i="327"/>
  <c r="V44" i="327"/>
  <c r="V45" i="327"/>
  <c r="V49" i="327"/>
  <c r="V56" i="327"/>
  <c r="V60" i="327"/>
  <c r="V86" i="327"/>
  <c r="V94" i="327"/>
  <c r="V98" i="327"/>
  <c r="V99" i="327"/>
  <c r="V2" i="327"/>
  <c r="V11" i="327"/>
  <c r="V46" i="327"/>
  <c r="K130" i="327"/>
  <c r="K137" i="327"/>
  <c r="K150" i="327" s="1"/>
  <c r="V21" i="327"/>
  <c r="V50" i="327"/>
  <c r="V87" i="327"/>
  <c r="V92" i="327"/>
  <c r="AT6" i="327"/>
  <c r="AU6" i="327" s="1"/>
  <c r="AD26" i="327"/>
  <c r="AD27" i="327" s="1"/>
  <c r="V28" i="327"/>
  <c r="V66" i="327"/>
  <c r="V71" i="327"/>
  <c r="V73" i="327"/>
  <c r="V3" i="327"/>
  <c r="V14" i="327"/>
  <c r="V22" i="327"/>
  <c r="V30" i="327"/>
  <c r="V34" i="327"/>
  <c r="Z37" i="327"/>
  <c r="V37" i="327"/>
  <c r="V47" i="327"/>
  <c r="V61" i="327"/>
  <c r="V70" i="327"/>
  <c r="V74" i="327"/>
  <c r="V76" i="327"/>
  <c r="V82" i="327"/>
  <c r="V85" i="327"/>
  <c r="V97" i="327"/>
  <c r="V101" i="327"/>
  <c r="K133" i="327"/>
  <c r="V6" i="327"/>
  <c r="V8" i="327"/>
  <c r="V10" i="327"/>
  <c r="V15" i="327"/>
  <c r="V31" i="327"/>
  <c r="AC35" i="327"/>
  <c r="V48" i="327"/>
  <c r="N50" i="327"/>
  <c r="V69" i="327"/>
  <c r="V77" i="327"/>
  <c r="V79" i="327"/>
  <c r="V83" i="327"/>
  <c r="V90" i="327"/>
  <c r="V93" i="327"/>
  <c r="V96" i="327"/>
  <c r="V102" i="327"/>
  <c r="N2" i="327"/>
  <c r="O29" i="327" s="1"/>
  <c r="V4" i="327"/>
  <c r="V16" i="327"/>
  <c r="AE27" i="327"/>
  <c r="AC43" i="327"/>
  <c r="AC44" i="327"/>
  <c r="V54" i="327"/>
  <c r="V58" i="327"/>
  <c r="V62" i="327"/>
  <c r="V80" i="327"/>
  <c r="V89" i="327"/>
  <c r="V91" i="327"/>
  <c r="V100" i="327"/>
  <c r="J119" i="327"/>
  <c r="I150" i="327"/>
  <c r="K134" i="327"/>
  <c r="AA4" i="327"/>
  <c r="L2" i="327" s="1"/>
  <c r="L3" i="327" s="1"/>
  <c r="L4" i="327" s="1"/>
  <c r="L5" i="327" s="1"/>
  <c r="L6" i="327" s="1"/>
  <c r="L7" i="327" s="1"/>
  <c r="L8" i="327" s="1"/>
  <c r="L9" i="327" s="1"/>
  <c r="L10" i="327" s="1"/>
  <c r="L11" i="327" s="1"/>
  <c r="L12" i="327" s="1"/>
  <c r="L13" i="327" s="1"/>
  <c r="L14" i="327" s="1"/>
  <c r="L15" i="327" s="1"/>
  <c r="L16" i="327" s="1"/>
  <c r="L17" i="327" s="1"/>
  <c r="L18" i="327" s="1"/>
  <c r="L19" i="327" s="1"/>
  <c r="L20" i="327" s="1"/>
  <c r="L21" i="327" s="1"/>
  <c r="L22" i="327" s="1"/>
  <c r="L23" i="327" s="1"/>
  <c r="L24" i="327" s="1"/>
  <c r="L25" i="327" s="1"/>
  <c r="L26" i="327" s="1"/>
  <c r="L27" i="327" s="1"/>
  <c r="L28" i="327" s="1"/>
  <c r="L29" i="327" s="1"/>
  <c r="L30" i="327" s="1"/>
  <c r="L31" i="327" s="1"/>
  <c r="L32" i="327" s="1"/>
  <c r="L33" i="327" s="1"/>
  <c r="L34" i="327" s="1"/>
  <c r="L35" i="327" s="1"/>
  <c r="L36" i="327" s="1"/>
  <c r="L37" i="327" s="1"/>
  <c r="L38" i="327" s="1"/>
  <c r="L39" i="327" s="1"/>
  <c r="L40" i="327" s="1"/>
  <c r="L41" i="327" s="1"/>
  <c r="L42" i="327" s="1"/>
  <c r="L43" i="327" s="1"/>
  <c r="L44" i="327" s="1"/>
  <c r="L45" i="327" s="1"/>
  <c r="L46" i="327" s="1"/>
  <c r="L47" i="327" s="1"/>
  <c r="L48" i="327" s="1"/>
  <c r="L49" i="327" s="1"/>
  <c r="L50" i="327" s="1"/>
  <c r="L51" i="327" s="1"/>
  <c r="L52" i="327" s="1"/>
  <c r="L53" i="327" s="1"/>
  <c r="L54" i="327" s="1"/>
  <c r="L55" i="327" s="1"/>
  <c r="L56" i="327" s="1"/>
  <c r="L57" i="327" s="1"/>
  <c r="L58" i="327" s="1"/>
  <c r="L59" i="327" s="1"/>
  <c r="L60" i="327" s="1"/>
  <c r="L61" i="327" s="1"/>
  <c r="L62" i="327" s="1"/>
  <c r="L63" i="327" s="1"/>
  <c r="L64" i="327" s="1"/>
  <c r="L65" i="327" s="1"/>
  <c r="L66" i="327" s="1"/>
  <c r="L67" i="327" s="1"/>
  <c r="L68" i="327" s="1"/>
  <c r="L69" i="327" s="1"/>
  <c r="L70" i="327" s="1"/>
  <c r="L71" i="327" s="1"/>
  <c r="L72" i="327" s="1"/>
  <c r="L73" i="327" s="1"/>
  <c r="L74" i="327" s="1"/>
  <c r="L75" i="327" s="1"/>
  <c r="L76" i="327" s="1"/>
  <c r="L77" i="327" s="1"/>
  <c r="L78" i="327" s="1"/>
  <c r="L79" i="327" s="1"/>
  <c r="L80" i="327" s="1"/>
  <c r="L81" i="327" s="1"/>
  <c r="L82" i="327" s="1"/>
  <c r="L83" i="327" s="1"/>
  <c r="L84" i="327" s="1"/>
  <c r="L85" i="327" s="1"/>
  <c r="L86" i="327" s="1"/>
  <c r="L87" i="327" s="1"/>
  <c r="L88" i="327" s="1"/>
  <c r="L89" i="327" s="1"/>
  <c r="L90" i="327" s="1"/>
  <c r="L91" i="327" s="1"/>
  <c r="L92" i="327" s="1"/>
  <c r="L93" i="327" s="1"/>
  <c r="L94" i="327" s="1"/>
  <c r="L95" i="327" s="1"/>
  <c r="L96" i="327" s="1"/>
  <c r="L97" i="327" s="1"/>
  <c r="L98" i="327" s="1"/>
  <c r="L99" i="327" s="1"/>
  <c r="L100" i="327" s="1"/>
  <c r="L101" i="327" s="1"/>
  <c r="L102" i="327" s="1"/>
  <c r="L103" i="327" s="1"/>
  <c r="L105" i="327" s="1"/>
  <c r="AA10" i="327"/>
  <c r="U105" i="327"/>
  <c r="AD4" i="327" s="1"/>
  <c r="Z18" i="327"/>
  <c r="Z24" i="327" s="1"/>
  <c r="Z13" i="327"/>
  <c r="AB93" i="327"/>
  <c r="AT15" i="327"/>
  <c r="AU15" i="327" s="1"/>
  <c r="K105" i="327"/>
  <c r="AT4" i="327"/>
  <c r="AU4" i="327" s="1"/>
  <c r="Q105" i="327"/>
  <c r="AF3" i="327"/>
  <c r="H105" i="327"/>
  <c r="I115" i="327"/>
  <c r="AA97" i="327"/>
  <c r="AA42" i="327"/>
  <c r="AC42" i="327" s="1"/>
  <c r="Z16" i="327"/>
  <c r="AA16" i="327" s="1"/>
  <c r="AA15" i="327"/>
  <c r="AT17" i="327"/>
  <c r="AU17" i="327" s="1"/>
  <c r="V26" i="327"/>
  <c r="J151" i="327"/>
  <c r="K125" i="327"/>
  <c r="N27" i="327"/>
  <c r="O36" i="327" s="1"/>
  <c r="AT19" i="327"/>
  <c r="AU19" i="327" s="1"/>
  <c r="AB97" i="327"/>
  <c r="O4" i="327"/>
  <c r="AT7" i="327"/>
  <c r="AU7" i="327" s="1"/>
  <c r="AT8" i="327"/>
  <c r="AU8" i="327" s="1"/>
  <c r="AT11" i="327"/>
  <c r="AU11" i="327" s="1"/>
  <c r="O10" i="327"/>
  <c r="AT22" i="327"/>
  <c r="AU22" i="327" s="1"/>
  <c r="AB100" i="327"/>
  <c r="V18" i="327"/>
  <c r="AT18" i="327"/>
  <c r="AU18" i="327" s="1"/>
  <c r="N56" i="327"/>
  <c r="O63" i="327" s="1"/>
  <c r="AC80" i="327"/>
  <c r="AC81" i="327" s="1"/>
  <c r="AA61" i="327"/>
  <c r="AH12" i="327"/>
  <c r="V33" i="327"/>
  <c r="AD36" i="327"/>
  <c r="AD35" i="327"/>
  <c r="AC36" i="327"/>
  <c r="V40" i="327"/>
  <c r="V43" i="327"/>
  <c r="AA92" i="327"/>
  <c r="I120" i="327"/>
  <c r="I105" i="327"/>
  <c r="AT12" i="327"/>
  <c r="AU12" i="327" s="1"/>
  <c r="V32" i="327"/>
  <c r="AE34" i="327"/>
  <c r="AC45" i="327"/>
  <c r="AB47" i="327"/>
  <c r="V52" i="327"/>
  <c r="V55" i="327"/>
  <c r="V57" i="327"/>
  <c r="AN74" i="327"/>
  <c r="AO73" i="327"/>
  <c r="J110" i="327"/>
  <c r="J108" i="327"/>
  <c r="J109" i="327"/>
  <c r="K149" i="327"/>
  <c r="AB98" i="327"/>
  <c r="V23" i="327"/>
  <c r="V53" i="327"/>
  <c r="AI59" i="327"/>
  <c r="AC61" i="327"/>
  <c r="AA69" i="327" s="1"/>
  <c r="AA62" i="327"/>
  <c r="V81" i="327"/>
  <c r="V88" i="327"/>
  <c r="N85" i="327"/>
  <c r="O92" i="327" s="1"/>
  <c r="I143" i="327"/>
  <c r="J117" i="327"/>
  <c r="J143" i="327" s="1"/>
  <c r="J148" i="327"/>
  <c r="K122" i="327"/>
  <c r="R160" i="327"/>
  <c r="T160" i="327" s="1"/>
  <c r="R159" i="327"/>
  <c r="T159" i="327" s="1"/>
  <c r="R158" i="327"/>
  <c r="T158" i="327" s="1"/>
  <c r="AE61" i="327"/>
  <c r="AB62" i="327"/>
  <c r="V63" i="327"/>
  <c r="V65" i="327"/>
  <c r="V67" i="327"/>
  <c r="V95" i="327"/>
  <c r="N94" i="327"/>
  <c r="J144" i="327"/>
  <c r="K118" i="327"/>
  <c r="K144" i="327" s="1"/>
  <c r="I147" i="327"/>
  <c r="J121" i="327"/>
  <c r="J147" i="327" s="1"/>
  <c r="K138" i="327"/>
  <c r="I151" i="327"/>
  <c r="Q168" i="327"/>
  <c r="R168" i="327" s="1"/>
  <c r="Q167" i="327"/>
  <c r="R167" i="327" s="1"/>
  <c r="Q169" i="327"/>
  <c r="R169" i="327" s="1"/>
  <c r="J116" i="327"/>
  <c r="J142" i="327" s="1"/>
  <c r="J124" i="327"/>
  <c r="J150" i="327" s="1"/>
  <c r="I142" i="327"/>
  <c r="AB107" i="325"/>
  <c r="AA107" i="325"/>
  <c r="AB100" i="325"/>
  <c r="AA100" i="325"/>
  <c r="AB99" i="325"/>
  <c r="AA99" i="325"/>
  <c r="AB98" i="325"/>
  <c r="AA98" i="325"/>
  <c r="AB97" i="325"/>
  <c r="AA97" i="325"/>
  <c r="AB95" i="325"/>
  <c r="AA95" i="325"/>
  <c r="AB94" i="325"/>
  <c r="AA94" i="325"/>
  <c r="AB93" i="325"/>
  <c r="AA93" i="325"/>
  <c r="AB92" i="325"/>
  <c r="AA92" i="325"/>
  <c r="AA107" i="326"/>
  <c r="AA100" i="326"/>
  <c r="AA99" i="326"/>
  <c r="AA98" i="326"/>
  <c r="AA97" i="326"/>
  <c r="AA95" i="326"/>
  <c r="AA94" i="326"/>
  <c r="AA93" i="326"/>
  <c r="AA92" i="326"/>
  <c r="X8" i="333" l="1"/>
  <c r="W9" i="333"/>
  <c r="X5" i="332"/>
  <c r="W6" i="332"/>
  <c r="AF78" i="332"/>
  <c r="AF81" i="332" s="1"/>
  <c r="AE81" i="332"/>
  <c r="AD81" i="332"/>
  <c r="AK75" i="332"/>
  <c r="X5" i="331"/>
  <c r="W6" i="331"/>
  <c r="AK78" i="331"/>
  <c r="AL79" i="331" s="1"/>
  <c r="AL75" i="331"/>
  <c r="AL78" i="331" s="1"/>
  <c r="AG5" i="330"/>
  <c r="Z5" i="330"/>
  <c r="AA36" i="330"/>
  <c r="AF11" i="330"/>
  <c r="AF9" i="330" s="1"/>
  <c r="AA60" i="330"/>
  <c r="AD5" i="330"/>
  <c r="AA34" i="330" s="1"/>
  <c r="AB34" i="330" s="1"/>
  <c r="AE3" i="330"/>
  <c r="AF3" i="330" s="1"/>
  <c r="AF5" i="330" s="1"/>
  <c r="W4" i="330"/>
  <c r="X3" i="330"/>
  <c r="AD59" i="330"/>
  <c r="AB79" i="330"/>
  <c r="AD79" i="330" s="1"/>
  <c r="AK76" i="330" s="1"/>
  <c r="AL76" i="330" s="1"/>
  <c r="X2" i="330"/>
  <c r="Z62" i="330"/>
  <c r="AD58" i="330"/>
  <c r="Z61" i="330"/>
  <c r="AB78" i="330"/>
  <c r="J152" i="329"/>
  <c r="AB5" i="329"/>
  <c r="O3" i="329"/>
  <c r="AE36" i="329"/>
  <c r="O26" i="329"/>
  <c r="AB35" i="329"/>
  <c r="O27" i="329"/>
  <c r="O10" i="329"/>
  <c r="O19" i="329"/>
  <c r="O11" i="329"/>
  <c r="O17" i="329"/>
  <c r="O20" i="329"/>
  <c r="O24" i="329"/>
  <c r="O12" i="329"/>
  <c r="O4" i="329"/>
  <c r="O5" i="329"/>
  <c r="O6" i="329"/>
  <c r="O16" i="329"/>
  <c r="K120" i="329"/>
  <c r="K146" i="329" s="1"/>
  <c r="K152" i="329" s="1"/>
  <c r="O13" i="329"/>
  <c r="O14" i="329"/>
  <c r="O2" i="329"/>
  <c r="O9" i="329"/>
  <c r="O25" i="329"/>
  <c r="O7" i="329"/>
  <c r="I152" i="329"/>
  <c r="O8" i="329"/>
  <c r="O15" i="329"/>
  <c r="O22" i="329"/>
  <c r="O28" i="329"/>
  <c r="N105" i="329"/>
  <c r="Z4" i="329"/>
  <c r="Z3" i="329"/>
  <c r="AA5" i="329"/>
  <c r="AG3" i="329"/>
  <c r="AF3" i="329"/>
  <c r="AF80" i="329"/>
  <c r="AG4" i="329"/>
  <c r="L2" i="329"/>
  <c r="L3" i="329" s="1"/>
  <c r="L4" i="329" s="1"/>
  <c r="L5" i="329" s="1"/>
  <c r="L6" i="329" s="1"/>
  <c r="L7" i="329" s="1"/>
  <c r="L8" i="329" s="1"/>
  <c r="L9" i="329" s="1"/>
  <c r="L10" i="329" s="1"/>
  <c r="L11" i="329" s="1"/>
  <c r="L12" i="329" s="1"/>
  <c r="L13" i="329" s="1"/>
  <c r="L14" i="329" s="1"/>
  <c r="L15" i="329" s="1"/>
  <c r="L16" i="329" s="1"/>
  <c r="L17" i="329" s="1"/>
  <c r="L18" i="329" s="1"/>
  <c r="L19" i="329" s="1"/>
  <c r="L20" i="329" s="1"/>
  <c r="L21" i="329" s="1"/>
  <c r="L22" i="329" s="1"/>
  <c r="L23" i="329" s="1"/>
  <c r="L24" i="329" s="1"/>
  <c r="L25" i="329" s="1"/>
  <c r="L26" i="329" s="1"/>
  <c r="L27" i="329" s="1"/>
  <c r="L28" i="329" s="1"/>
  <c r="L29" i="329" s="1"/>
  <c r="L30" i="329" s="1"/>
  <c r="L31" i="329" s="1"/>
  <c r="L32" i="329" s="1"/>
  <c r="L33" i="329" s="1"/>
  <c r="L34" i="329" s="1"/>
  <c r="L35" i="329" s="1"/>
  <c r="L36" i="329" s="1"/>
  <c r="L37" i="329" s="1"/>
  <c r="L38" i="329" s="1"/>
  <c r="L39" i="329" s="1"/>
  <c r="L40" i="329" s="1"/>
  <c r="L41" i="329" s="1"/>
  <c r="L42" i="329" s="1"/>
  <c r="L43" i="329" s="1"/>
  <c r="L44" i="329" s="1"/>
  <c r="L45" i="329" s="1"/>
  <c r="L46" i="329" s="1"/>
  <c r="L47" i="329" s="1"/>
  <c r="L48" i="329" s="1"/>
  <c r="L49" i="329" s="1"/>
  <c r="L50" i="329" s="1"/>
  <c r="L51" i="329" s="1"/>
  <c r="L52" i="329" s="1"/>
  <c r="L53" i="329" s="1"/>
  <c r="L54" i="329" s="1"/>
  <c r="L55" i="329" s="1"/>
  <c r="L56" i="329" s="1"/>
  <c r="L57" i="329" s="1"/>
  <c r="L58" i="329" s="1"/>
  <c r="L59" i="329" s="1"/>
  <c r="L60" i="329" s="1"/>
  <c r="L61" i="329" s="1"/>
  <c r="L62" i="329" s="1"/>
  <c r="L63" i="329" s="1"/>
  <c r="L64" i="329" s="1"/>
  <c r="L65" i="329" s="1"/>
  <c r="L66" i="329" s="1"/>
  <c r="L67" i="329" s="1"/>
  <c r="L68" i="329" s="1"/>
  <c r="L69" i="329" s="1"/>
  <c r="L70" i="329" s="1"/>
  <c r="L71" i="329" s="1"/>
  <c r="L72" i="329" s="1"/>
  <c r="L73" i="329" s="1"/>
  <c r="L74" i="329" s="1"/>
  <c r="L75" i="329" s="1"/>
  <c r="L76" i="329" s="1"/>
  <c r="L77" i="329" s="1"/>
  <c r="L78" i="329" s="1"/>
  <c r="L79" i="329" s="1"/>
  <c r="L80" i="329" s="1"/>
  <c r="L81" i="329" s="1"/>
  <c r="L82" i="329" s="1"/>
  <c r="L83" i="329" s="1"/>
  <c r="L84" i="329" s="1"/>
  <c r="L85" i="329" s="1"/>
  <c r="L86" i="329" s="1"/>
  <c r="L87" i="329" s="1"/>
  <c r="L88" i="329" s="1"/>
  <c r="L89" i="329" s="1"/>
  <c r="L90" i="329" s="1"/>
  <c r="L91" i="329" s="1"/>
  <c r="L92" i="329" s="1"/>
  <c r="L93" i="329" s="1"/>
  <c r="L94" i="329" s="1"/>
  <c r="L95" i="329" s="1"/>
  <c r="L96" i="329" s="1"/>
  <c r="L97" i="329" s="1"/>
  <c r="L98" i="329" s="1"/>
  <c r="L99" i="329" s="1"/>
  <c r="L100" i="329" s="1"/>
  <c r="L101" i="329" s="1"/>
  <c r="L102" i="329" s="1"/>
  <c r="L103" i="329" s="1"/>
  <c r="L105" i="329" s="1"/>
  <c r="AE37" i="329"/>
  <c r="Z59" i="329"/>
  <c r="Z61" i="329" s="1"/>
  <c r="AC5" i="329"/>
  <c r="AE5" i="329" s="1"/>
  <c r="AE4" i="329"/>
  <c r="AF4" i="329" s="1"/>
  <c r="W3" i="329"/>
  <c r="AB78" i="329"/>
  <c r="AD58" i="329"/>
  <c r="O56" i="328"/>
  <c r="O44" i="328"/>
  <c r="O54" i="328"/>
  <c r="O32" i="328"/>
  <c r="O34" i="328"/>
  <c r="O49" i="328"/>
  <c r="O43" i="328"/>
  <c r="O55" i="328"/>
  <c r="O38" i="328"/>
  <c r="O41" i="328"/>
  <c r="AE36" i="328"/>
  <c r="O45" i="328"/>
  <c r="K142" i="328"/>
  <c r="O83" i="328"/>
  <c r="O53" i="328"/>
  <c r="O36" i="328"/>
  <c r="O47" i="328"/>
  <c r="O31" i="328"/>
  <c r="O81" i="328"/>
  <c r="O61" i="328"/>
  <c r="O101" i="328"/>
  <c r="O50" i="328"/>
  <c r="O35" i="328"/>
  <c r="O46" i="328"/>
  <c r="AC37" i="328"/>
  <c r="O96" i="328"/>
  <c r="O39" i="328"/>
  <c r="O33" i="328"/>
  <c r="O37" i="328"/>
  <c r="O99" i="328"/>
  <c r="O97" i="328"/>
  <c r="O98" i="328"/>
  <c r="O84" i="328"/>
  <c r="O95" i="328"/>
  <c r="O89" i="328"/>
  <c r="K148" i="328"/>
  <c r="O87" i="328"/>
  <c r="O71" i="328"/>
  <c r="O102" i="328"/>
  <c r="O100" i="328"/>
  <c r="O94" i="328"/>
  <c r="O30" i="328"/>
  <c r="O66" i="328"/>
  <c r="V13" i="328"/>
  <c r="T105" i="328"/>
  <c r="S105" i="328"/>
  <c r="V7" i="328"/>
  <c r="AB100" i="328"/>
  <c r="O68" i="328"/>
  <c r="O77" i="328"/>
  <c r="O76" i="328"/>
  <c r="I141" i="328"/>
  <c r="K115" i="328"/>
  <c r="K141" i="328" s="1"/>
  <c r="AE35" i="328"/>
  <c r="O64" i="328"/>
  <c r="O62" i="328"/>
  <c r="J147" i="328"/>
  <c r="K121" i="328"/>
  <c r="K147" i="328" s="1"/>
  <c r="AC81" i="328"/>
  <c r="K119" i="328"/>
  <c r="K145" i="328" s="1"/>
  <c r="O79" i="328"/>
  <c r="O75" i="328"/>
  <c r="J120" i="328"/>
  <c r="J146" i="328" s="1"/>
  <c r="I146" i="328"/>
  <c r="Z14" i="328"/>
  <c r="AA10" i="328"/>
  <c r="J143" i="328"/>
  <c r="K117" i="328"/>
  <c r="K143" i="328" s="1"/>
  <c r="O74" i="328"/>
  <c r="O63" i="328"/>
  <c r="O57" i="328"/>
  <c r="O67" i="328"/>
  <c r="O65" i="328"/>
  <c r="O69" i="328"/>
  <c r="O59" i="328"/>
  <c r="O80" i="328"/>
  <c r="Z60" i="328"/>
  <c r="AA35" i="328"/>
  <c r="AD28" i="328"/>
  <c r="AD5" i="328"/>
  <c r="AA34" i="328" s="1"/>
  <c r="AB34" i="328" s="1"/>
  <c r="AF10" i="328"/>
  <c r="AF9" i="328" s="1"/>
  <c r="O70" i="328"/>
  <c r="O90" i="328"/>
  <c r="O88" i="328"/>
  <c r="O91" i="328"/>
  <c r="O93" i="328"/>
  <c r="O85" i="328"/>
  <c r="O73" i="328"/>
  <c r="O92" i="328"/>
  <c r="O78" i="328"/>
  <c r="O72" i="328"/>
  <c r="AB97" i="328"/>
  <c r="AC42" i="328"/>
  <c r="O58" i="328"/>
  <c r="AT10" i="328"/>
  <c r="AU10" i="328" s="1"/>
  <c r="N2" i="328"/>
  <c r="O7" i="328" s="1"/>
  <c r="O49" i="327"/>
  <c r="AB92" i="327"/>
  <c r="O34" i="327"/>
  <c r="O19" i="327"/>
  <c r="O22" i="327"/>
  <c r="O26" i="327"/>
  <c r="T105" i="327"/>
  <c r="T109" i="327" s="1"/>
  <c r="O17" i="327"/>
  <c r="O44" i="327"/>
  <c r="O14" i="327"/>
  <c r="O11" i="327"/>
  <c r="AB95" i="327"/>
  <c r="V9" i="327"/>
  <c r="O74" i="327"/>
  <c r="AA68" i="327"/>
  <c r="O81" i="327"/>
  <c r="O66" i="327"/>
  <c r="O58" i="327"/>
  <c r="O84" i="327"/>
  <c r="O83" i="327"/>
  <c r="O69" i="327"/>
  <c r="O64" i="327"/>
  <c r="K148" i="327"/>
  <c r="O25" i="327"/>
  <c r="O12" i="327"/>
  <c r="O20" i="327"/>
  <c r="O24" i="327"/>
  <c r="O13" i="327"/>
  <c r="O6" i="327"/>
  <c r="O3" i="327"/>
  <c r="O7" i="327"/>
  <c r="S105" i="327"/>
  <c r="AC4" i="327" s="1"/>
  <c r="K151" i="327"/>
  <c r="O27" i="327"/>
  <c r="O16" i="327"/>
  <c r="O8" i="327"/>
  <c r="O5" i="327"/>
  <c r="O28" i="327"/>
  <c r="O15" i="327"/>
  <c r="AA5" i="327"/>
  <c r="O2" i="327"/>
  <c r="O73" i="327"/>
  <c r="O78" i="327"/>
  <c r="AE36" i="327"/>
  <c r="O9" i="327"/>
  <c r="W2" i="327"/>
  <c r="W3" i="327" s="1"/>
  <c r="AE35" i="327"/>
  <c r="J145" i="327"/>
  <c r="K119" i="327"/>
  <c r="K145" i="327" s="1"/>
  <c r="O37" i="327"/>
  <c r="O61" i="327"/>
  <c r="J111" i="327"/>
  <c r="O53" i="327"/>
  <c r="AD37" i="327"/>
  <c r="O62" i="327"/>
  <c r="O90" i="327"/>
  <c r="O88" i="327"/>
  <c r="O89" i="327"/>
  <c r="O91" i="327"/>
  <c r="O86" i="327"/>
  <c r="O103" i="327"/>
  <c r="O99" i="327"/>
  <c r="O102" i="327"/>
  <c r="O100" i="327"/>
  <c r="O94" i="327"/>
  <c r="O101" i="327"/>
  <c r="O97" i="327"/>
  <c r="O95" i="327"/>
  <c r="O98" i="327"/>
  <c r="O96" i="327"/>
  <c r="O71" i="327"/>
  <c r="K117" i="327"/>
  <c r="K143" i="327" s="1"/>
  <c r="O30" i="327"/>
  <c r="O60" i="327"/>
  <c r="O35" i="327"/>
  <c r="V17" i="327"/>
  <c r="O31" i="327"/>
  <c r="AC37" i="327"/>
  <c r="K121" i="327"/>
  <c r="K147" i="327" s="1"/>
  <c r="O93" i="327"/>
  <c r="O85" i="327"/>
  <c r="K116" i="327"/>
  <c r="K142" i="327" s="1"/>
  <c r="I146" i="327"/>
  <c r="J120" i="327"/>
  <c r="J146" i="327" s="1"/>
  <c r="O80" i="327"/>
  <c r="O72" i="327"/>
  <c r="O59" i="327"/>
  <c r="O75" i="327"/>
  <c r="O76" i="327"/>
  <c r="O68" i="327"/>
  <c r="O67" i="327"/>
  <c r="O65" i="327"/>
  <c r="O70" i="327"/>
  <c r="O77" i="327"/>
  <c r="O79" i="327"/>
  <c r="O57" i="327"/>
  <c r="O45" i="327"/>
  <c r="O42" i="327"/>
  <c r="O39" i="327"/>
  <c r="O56" i="327"/>
  <c r="O50" i="327"/>
  <c r="O43" i="327"/>
  <c r="O33" i="327"/>
  <c r="O47" i="327"/>
  <c r="O46" i="327"/>
  <c r="O55" i="327"/>
  <c r="O32" i="327"/>
  <c r="Z60" i="327"/>
  <c r="AA35" i="327"/>
  <c r="AD5" i="327"/>
  <c r="AA34" i="327" s="1"/>
  <c r="AB34" i="327" s="1"/>
  <c r="AD28" i="327"/>
  <c r="AF10" i="327"/>
  <c r="AF9" i="327" s="1"/>
  <c r="O38" i="327"/>
  <c r="O54" i="327"/>
  <c r="O41" i="327"/>
  <c r="N105" i="327"/>
  <c r="I141" i="327"/>
  <c r="K115" i="327"/>
  <c r="K141" i="327" s="1"/>
  <c r="Z4" i="327"/>
  <c r="Z3" i="327"/>
  <c r="O87" i="327"/>
  <c r="I7" i="325"/>
  <c r="H7" i="325"/>
  <c r="P170" i="326"/>
  <c r="I170" i="326"/>
  <c r="J167" i="326" s="1"/>
  <c r="K167" i="326" s="1"/>
  <c r="Q169" i="326"/>
  <c r="R169" i="326" s="1"/>
  <c r="Q168" i="326"/>
  <c r="R168" i="326" s="1"/>
  <c r="J168" i="326"/>
  <c r="K168" i="326" s="1"/>
  <c r="Q167" i="326"/>
  <c r="R167" i="326" s="1"/>
  <c r="Q162" i="326"/>
  <c r="I162" i="326"/>
  <c r="J158" i="326" s="1"/>
  <c r="L158" i="326" s="1"/>
  <c r="R160" i="326"/>
  <c r="T160" i="326" s="1"/>
  <c r="T159" i="326"/>
  <c r="R159" i="326"/>
  <c r="J159" i="326"/>
  <c r="L159" i="326" s="1"/>
  <c r="R158" i="326"/>
  <c r="T158" i="326" s="1"/>
  <c r="I151" i="326"/>
  <c r="J138" i="326"/>
  <c r="K138" i="326" s="1"/>
  <c r="I138" i="326"/>
  <c r="J137" i="326"/>
  <c r="I137" i="326"/>
  <c r="J136" i="326"/>
  <c r="I136" i="326"/>
  <c r="K136" i="326" s="1"/>
  <c r="J135" i="326"/>
  <c r="I135" i="326"/>
  <c r="J134" i="326"/>
  <c r="I134" i="326"/>
  <c r="J133" i="326"/>
  <c r="I133" i="326"/>
  <c r="J132" i="326"/>
  <c r="I132" i="326"/>
  <c r="J131" i="326"/>
  <c r="I131" i="326"/>
  <c r="K131" i="326" s="1"/>
  <c r="J130" i="326"/>
  <c r="I130" i="326"/>
  <c r="J129" i="326"/>
  <c r="I129" i="326"/>
  <c r="J128" i="326"/>
  <c r="I128" i="326"/>
  <c r="I125" i="326"/>
  <c r="I124" i="326"/>
  <c r="J124" i="326" s="1"/>
  <c r="J123" i="326"/>
  <c r="J149" i="326" s="1"/>
  <c r="I123" i="326"/>
  <c r="J122" i="326"/>
  <c r="I122" i="326"/>
  <c r="I121" i="326"/>
  <c r="I119" i="326"/>
  <c r="J119" i="326" s="1"/>
  <c r="I118" i="326"/>
  <c r="I117" i="326"/>
  <c r="I143" i="326" s="1"/>
  <c r="I116" i="326"/>
  <c r="AC115" i="326"/>
  <c r="J115" i="326"/>
  <c r="I115" i="326"/>
  <c r="B115" i="326"/>
  <c r="I111" i="326"/>
  <c r="J109" i="326" s="1"/>
  <c r="P106" i="326"/>
  <c r="R105" i="326"/>
  <c r="P105" i="326"/>
  <c r="M105" i="326"/>
  <c r="J105" i="326"/>
  <c r="B105" i="326"/>
  <c r="U103" i="326"/>
  <c r="T103" i="326"/>
  <c r="S103" i="326"/>
  <c r="Q103" i="326"/>
  <c r="K103" i="326"/>
  <c r="U102" i="326"/>
  <c r="T102" i="326"/>
  <c r="S102" i="326"/>
  <c r="Q102" i="326"/>
  <c r="K102" i="326"/>
  <c r="U101" i="326"/>
  <c r="T101" i="326"/>
  <c r="S101" i="326"/>
  <c r="Q101" i="326"/>
  <c r="K101" i="326"/>
  <c r="U100" i="326"/>
  <c r="T100" i="326"/>
  <c r="S100" i="326"/>
  <c r="Q100" i="326"/>
  <c r="K100" i="326"/>
  <c r="U99" i="326"/>
  <c r="T99" i="326"/>
  <c r="S99" i="326"/>
  <c r="Q99" i="326"/>
  <c r="K99" i="326"/>
  <c r="U98" i="326"/>
  <c r="T98" i="326"/>
  <c r="S98" i="326"/>
  <c r="Q98" i="326"/>
  <c r="K98" i="326"/>
  <c r="U97" i="326"/>
  <c r="T97" i="326"/>
  <c r="S97" i="326"/>
  <c r="Q97" i="326"/>
  <c r="K97" i="326"/>
  <c r="U96" i="326"/>
  <c r="T96" i="326"/>
  <c r="S96" i="326"/>
  <c r="Q96" i="326"/>
  <c r="K96" i="326"/>
  <c r="U95" i="326"/>
  <c r="T95" i="326"/>
  <c r="S95" i="326"/>
  <c r="Q95" i="326"/>
  <c r="K95" i="326"/>
  <c r="U94" i="326"/>
  <c r="T94" i="326"/>
  <c r="S94" i="326"/>
  <c r="Q94" i="326"/>
  <c r="K94" i="326"/>
  <c r="U93" i="326"/>
  <c r="T93" i="326"/>
  <c r="S93" i="326"/>
  <c r="Q93" i="326"/>
  <c r="K93" i="326"/>
  <c r="U92" i="326"/>
  <c r="T92" i="326"/>
  <c r="S92" i="326"/>
  <c r="Q92" i="326"/>
  <c r="K92" i="326"/>
  <c r="U91" i="326"/>
  <c r="T91" i="326"/>
  <c r="S91" i="326"/>
  <c r="Q91" i="326"/>
  <c r="K91" i="326"/>
  <c r="U90" i="326"/>
  <c r="T90" i="326"/>
  <c r="S90" i="326"/>
  <c r="Q90" i="326"/>
  <c r="K90" i="326"/>
  <c r="U89" i="326"/>
  <c r="T89" i="326"/>
  <c r="S89" i="326"/>
  <c r="Q89" i="326"/>
  <c r="K89" i="326"/>
  <c r="U88" i="326"/>
  <c r="T88" i="326"/>
  <c r="S88" i="326"/>
  <c r="Q88" i="326"/>
  <c r="K88" i="326"/>
  <c r="AE87" i="326"/>
  <c r="AA87" i="326"/>
  <c r="Y87" i="326"/>
  <c r="U87" i="326"/>
  <c r="T87" i="326"/>
  <c r="S87" i="326"/>
  <c r="Q87" i="326"/>
  <c r="K87" i="326"/>
  <c r="AF86" i="326"/>
  <c r="AG86" i="326" s="1"/>
  <c r="AH86" i="326" s="1"/>
  <c r="AH87" i="326" s="1"/>
  <c r="AH88" i="326" s="1"/>
  <c r="U86" i="326"/>
  <c r="T86" i="326"/>
  <c r="S86" i="326"/>
  <c r="Q86" i="326"/>
  <c r="K86" i="326"/>
  <c r="U85" i="326"/>
  <c r="T85" i="326"/>
  <c r="S85" i="326"/>
  <c r="Q85" i="326"/>
  <c r="K85" i="326"/>
  <c r="U84" i="326"/>
  <c r="T84" i="326"/>
  <c r="S84" i="326"/>
  <c r="Q84" i="326"/>
  <c r="K84" i="326"/>
  <c r="U83" i="326"/>
  <c r="T83" i="326"/>
  <c r="S83" i="326"/>
  <c r="Q83" i="326"/>
  <c r="K83" i="326"/>
  <c r="U82" i="326"/>
  <c r="T82" i="326"/>
  <c r="S82" i="326"/>
  <c r="Q82" i="326"/>
  <c r="K82" i="326"/>
  <c r="Z81" i="326"/>
  <c r="U81" i="326"/>
  <c r="T81" i="326"/>
  <c r="S81" i="326"/>
  <c r="Q81" i="326"/>
  <c r="K81" i="326"/>
  <c r="AI80" i="326"/>
  <c r="U80" i="326"/>
  <c r="T80" i="326"/>
  <c r="S80" i="326"/>
  <c r="Q80" i="326"/>
  <c r="K80" i="326"/>
  <c r="U79" i="326"/>
  <c r="T79" i="326"/>
  <c r="S79" i="326"/>
  <c r="Q79" i="326"/>
  <c r="K79" i="326"/>
  <c r="AI78" i="326"/>
  <c r="U78" i="326"/>
  <c r="T78" i="326"/>
  <c r="S78" i="326"/>
  <c r="Q78" i="326"/>
  <c r="K78" i="326"/>
  <c r="U77" i="326"/>
  <c r="T77" i="326"/>
  <c r="S77" i="326"/>
  <c r="Q77" i="326"/>
  <c r="K77" i="326"/>
  <c r="U76" i="326"/>
  <c r="T76" i="326"/>
  <c r="S76" i="326"/>
  <c r="Q76" i="326"/>
  <c r="K76" i="326"/>
  <c r="U75" i="326"/>
  <c r="T75" i="326"/>
  <c r="S75" i="326"/>
  <c r="Q75" i="326"/>
  <c r="K75" i="326"/>
  <c r="U74" i="326"/>
  <c r="T74" i="326"/>
  <c r="S74" i="326"/>
  <c r="Q74" i="326"/>
  <c r="K74" i="326"/>
  <c r="AP73" i="326"/>
  <c r="AQ73" i="326" s="1"/>
  <c r="AD73" i="326"/>
  <c r="AM72" i="326" s="1"/>
  <c r="AN73" i="326" s="1"/>
  <c r="Z73" i="326"/>
  <c r="U73" i="326"/>
  <c r="T73" i="326"/>
  <c r="S73" i="326"/>
  <c r="Q73" i="326"/>
  <c r="K73" i="326"/>
  <c r="Z72" i="326"/>
  <c r="U72" i="326"/>
  <c r="T72" i="326"/>
  <c r="S72" i="326"/>
  <c r="Q72" i="326"/>
  <c r="K72" i="326"/>
  <c r="U71" i="326"/>
  <c r="T71" i="326"/>
  <c r="S71" i="326"/>
  <c r="Q71" i="326"/>
  <c r="K71" i="326"/>
  <c r="U70" i="326"/>
  <c r="T70" i="326"/>
  <c r="S70" i="326"/>
  <c r="Q70" i="326"/>
  <c r="K70" i="326"/>
  <c r="U69" i="326"/>
  <c r="T69" i="326"/>
  <c r="S69" i="326"/>
  <c r="Q69" i="326"/>
  <c r="K69" i="326"/>
  <c r="U68" i="326"/>
  <c r="T68" i="326"/>
  <c r="S68" i="326"/>
  <c r="Q68" i="326"/>
  <c r="K68" i="326"/>
  <c r="AL67" i="326"/>
  <c r="AA67" i="326"/>
  <c r="U67" i="326"/>
  <c r="T67" i="326"/>
  <c r="S67" i="326"/>
  <c r="Q67" i="326"/>
  <c r="K67" i="326"/>
  <c r="AF66" i="326"/>
  <c r="U66" i="326"/>
  <c r="T66" i="326"/>
  <c r="S66" i="326"/>
  <c r="Q66" i="326"/>
  <c r="K66" i="326"/>
  <c r="AF65" i="326"/>
  <c r="U65" i="326"/>
  <c r="T65" i="326"/>
  <c r="S65" i="326"/>
  <c r="Q65" i="326"/>
  <c r="K65" i="326"/>
  <c r="AL64" i="326"/>
  <c r="U64" i="326"/>
  <c r="T64" i="326"/>
  <c r="S64" i="326"/>
  <c r="Q64" i="326"/>
  <c r="K64" i="326"/>
  <c r="U63" i="326"/>
  <c r="T63" i="326"/>
  <c r="S63" i="326"/>
  <c r="Q63" i="326"/>
  <c r="K63" i="326"/>
  <c r="AC62" i="326"/>
  <c r="U62" i="326"/>
  <c r="T62" i="326"/>
  <c r="S62" i="326"/>
  <c r="Q62" i="326"/>
  <c r="K62" i="326"/>
  <c r="U61" i="326"/>
  <c r="T61" i="326"/>
  <c r="S61" i="326"/>
  <c r="Q61" i="326"/>
  <c r="K61" i="326"/>
  <c r="AL60" i="326"/>
  <c r="U60" i="326"/>
  <c r="T60" i="326"/>
  <c r="S60" i="326"/>
  <c r="Q60" i="326"/>
  <c r="K60" i="326"/>
  <c r="AH59" i="326"/>
  <c r="AE59" i="326"/>
  <c r="AE61" i="326" s="1"/>
  <c r="AB59" i="326"/>
  <c r="AA59" i="326"/>
  <c r="AC79" i="326" s="1"/>
  <c r="U59" i="326"/>
  <c r="T59" i="326"/>
  <c r="S59" i="326"/>
  <c r="Q59" i="326"/>
  <c r="K59" i="326"/>
  <c r="AB58" i="326"/>
  <c r="AA58" i="326"/>
  <c r="AC78" i="326" s="1"/>
  <c r="U58" i="326"/>
  <c r="T58" i="326"/>
  <c r="S58" i="326"/>
  <c r="Q58" i="326"/>
  <c r="K58" i="326"/>
  <c r="U57" i="326"/>
  <c r="T57" i="326"/>
  <c r="S57" i="326"/>
  <c r="Q57" i="326"/>
  <c r="K57" i="326"/>
  <c r="U56" i="326"/>
  <c r="T56" i="326"/>
  <c r="S56" i="326"/>
  <c r="Q56" i="326"/>
  <c r="K56" i="326"/>
  <c r="AL55" i="326"/>
  <c r="Y55" i="326"/>
  <c r="U55" i="326"/>
  <c r="S55" i="326"/>
  <c r="Q55" i="326"/>
  <c r="T55" i="326" s="1"/>
  <c r="K55" i="326"/>
  <c r="U54" i="326"/>
  <c r="T54" i="326"/>
  <c r="S54" i="326"/>
  <c r="Q54" i="326"/>
  <c r="K54" i="326"/>
  <c r="AM53" i="326"/>
  <c r="AM55" i="326" s="1"/>
  <c r="Y53" i="326"/>
  <c r="U53" i="326"/>
  <c r="T53" i="326"/>
  <c r="Q53" i="326"/>
  <c r="S53" i="326" s="1"/>
  <c r="K53" i="326"/>
  <c r="U52" i="326"/>
  <c r="T52" i="326"/>
  <c r="S52" i="326"/>
  <c r="Q52" i="326"/>
  <c r="K52" i="326"/>
  <c r="Y51" i="326"/>
  <c r="U51" i="326"/>
  <c r="T51" i="326"/>
  <c r="S51" i="326"/>
  <c r="K51" i="326"/>
  <c r="AB50" i="326"/>
  <c r="U50" i="326"/>
  <c r="T50" i="326"/>
  <c r="S50" i="326"/>
  <c r="Q50" i="326"/>
  <c r="K50" i="326"/>
  <c r="Y49" i="326"/>
  <c r="Z49" i="326" s="1"/>
  <c r="U49" i="326"/>
  <c r="T49" i="326"/>
  <c r="S49" i="326"/>
  <c r="Q49" i="326"/>
  <c r="K49" i="326"/>
  <c r="Y48" i="326"/>
  <c r="Z48" i="326" s="1"/>
  <c r="U48" i="326"/>
  <c r="T48" i="326"/>
  <c r="S48" i="326"/>
  <c r="Q48" i="326"/>
  <c r="K48" i="326"/>
  <c r="U47" i="326"/>
  <c r="T47" i="326"/>
  <c r="S47" i="326"/>
  <c r="Q47" i="326"/>
  <c r="K47" i="326"/>
  <c r="AF46" i="326"/>
  <c r="U46" i="326"/>
  <c r="T46" i="326"/>
  <c r="Q46" i="326"/>
  <c r="S46" i="326" s="1"/>
  <c r="K46" i="326"/>
  <c r="AB45" i="326"/>
  <c r="AA45" i="326"/>
  <c r="U45" i="326"/>
  <c r="T45" i="326"/>
  <c r="S45" i="326"/>
  <c r="Q45" i="326"/>
  <c r="K45" i="326"/>
  <c r="AE44" i="326"/>
  <c r="AE46" i="326" s="1"/>
  <c r="AB44" i="326"/>
  <c r="AA44" i="326"/>
  <c r="U44" i="326"/>
  <c r="T44" i="326"/>
  <c r="S44" i="326"/>
  <c r="Q44" i="326"/>
  <c r="K44" i="326"/>
  <c r="AB43" i="326"/>
  <c r="AA43" i="326"/>
  <c r="U43" i="326"/>
  <c r="T43" i="326"/>
  <c r="S43" i="326"/>
  <c r="Q43" i="326"/>
  <c r="K43" i="326"/>
  <c r="AB42" i="326"/>
  <c r="AA42" i="326"/>
  <c r="U42" i="326"/>
  <c r="T42" i="326"/>
  <c r="S42" i="326"/>
  <c r="Q42" i="326"/>
  <c r="K42" i="326"/>
  <c r="U41" i="326"/>
  <c r="T41" i="326"/>
  <c r="S41" i="326"/>
  <c r="Q41" i="326"/>
  <c r="K41" i="326"/>
  <c r="U40" i="326"/>
  <c r="T40" i="326"/>
  <c r="S40" i="326"/>
  <c r="K40" i="326"/>
  <c r="AH39" i="326"/>
  <c r="U39" i="326"/>
  <c r="T39" i="326"/>
  <c r="S39" i="326"/>
  <c r="Q39" i="326"/>
  <c r="K39" i="326"/>
  <c r="U38" i="326"/>
  <c r="T38" i="326"/>
  <c r="S38" i="326"/>
  <c r="Q38" i="326"/>
  <c r="K38" i="326"/>
  <c r="U37" i="326"/>
  <c r="T37" i="326"/>
  <c r="S37" i="326"/>
  <c r="Q37" i="326"/>
  <c r="K37" i="326"/>
  <c r="Z36" i="326"/>
  <c r="U36" i="326"/>
  <c r="T36" i="326"/>
  <c r="S36" i="326"/>
  <c r="Q36" i="326"/>
  <c r="K36" i="326"/>
  <c r="Z35" i="326"/>
  <c r="U35" i="326"/>
  <c r="T35" i="326"/>
  <c r="S35" i="326"/>
  <c r="Q35" i="326"/>
  <c r="K35" i="326"/>
  <c r="AI34" i="326"/>
  <c r="AH34" i="326"/>
  <c r="AC34" i="326"/>
  <c r="U34" i="326"/>
  <c r="T34" i="326"/>
  <c r="S34" i="326"/>
  <c r="Q34" i="326"/>
  <c r="K34" i="326"/>
  <c r="U33" i="326"/>
  <c r="T33" i="326"/>
  <c r="S33" i="326"/>
  <c r="Q33" i="326"/>
  <c r="K33" i="326"/>
  <c r="U32" i="326"/>
  <c r="T32" i="326"/>
  <c r="S32" i="326"/>
  <c r="Q32" i="326"/>
  <c r="K32" i="326"/>
  <c r="U31" i="326"/>
  <c r="T31" i="326"/>
  <c r="S31" i="326"/>
  <c r="Q31" i="326"/>
  <c r="K31" i="326"/>
  <c r="Z30" i="326"/>
  <c r="U30" i="326"/>
  <c r="T30" i="326"/>
  <c r="S30" i="326"/>
  <c r="Q30" i="326"/>
  <c r="K30" i="326"/>
  <c r="U29" i="326"/>
  <c r="J125" i="326" s="1"/>
  <c r="K125" i="326" s="1"/>
  <c r="T29" i="326"/>
  <c r="S29" i="326"/>
  <c r="Q29" i="326"/>
  <c r="K29" i="326"/>
  <c r="AA28" i="326"/>
  <c r="U28" i="326"/>
  <c r="T28" i="326"/>
  <c r="S28" i="326"/>
  <c r="Q28" i="326"/>
  <c r="K28" i="326"/>
  <c r="AC27" i="326"/>
  <c r="AA27" i="326"/>
  <c r="U27" i="326"/>
  <c r="T27" i="326"/>
  <c r="S27" i="326"/>
  <c r="Q27" i="326"/>
  <c r="K27" i="326"/>
  <c r="AC26" i="326"/>
  <c r="AD26" i="326" s="1"/>
  <c r="AD27" i="326" s="1"/>
  <c r="T26" i="326"/>
  <c r="S26" i="326"/>
  <c r="Q26" i="326"/>
  <c r="U26" i="326" s="1"/>
  <c r="K26" i="326"/>
  <c r="AE25" i="326"/>
  <c r="U25" i="326"/>
  <c r="T25" i="326"/>
  <c r="Q25" i="326"/>
  <c r="S25" i="326" s="1"/>
  <c r="K25" i="326"/>
  <c r="U24" i="326"/>
  <c r="T24" i="326"/>
  <c r="S24" i="326"/>
  <c r="Q24" i="326"/>
  <c r="K24" i="326"/>
  <c r="AT9" i="326" s="1"/>
  <c r="AU9" i="326" s="1"/>
  <c r="U23" i="326"/>
  <c r="T23" i="326"/>
  <c r="S23" i="326"/>
  <c r="Q23" i="326"/>
  <c r="K23" i="326"/>
  <c r="U22" i="326"/>
  <c r="T22" i="326"/>
  <c r="Q22" i="326"/>
  <c r="S22" i="326" s="1"/>
  <c r="K22" i="326"/>
  <c r="U21" i="326"/>
  <c r="T21" i="326"/>
  <c r="S21" i="326"/>
  <c r="Q21" i="326"/>
  <c r="K21" i="326"/>
  <c r="U20" i="326"/>
  <c r="T20" i="326"/>
  <c r="Q20" i="326"/>
  <c r="S20" i="326" s="1"/>
  <c r="K20" i="326"/>
  <c r="U19" i="326"/>
  <c r="T19" i="326"/>
  <c r="S19" i="326"/>
  <c r="Q19" i="326"/>
  <c r="K19" i="326"/>
  <c r="AT13" i="326" s="1"/>
  <c r="AU13" i="326" s="1"/>
  <c r="U18" i="326"/>
  <c r="S18" i="326"/>
  <c r="AB99" i="326" s="1"/>
  <c r="Q18" i="326"/>
  <c r="T18" i="326" s="1"/>
  <c r="AB94" i="326" s="1"/>
  <c r="K18" i="326"/>
  <c r="U17" i="326"/>
  <c r="Q17" i="326"/>
  <c r="T17" i="326" s="1"/>
  <c r="K17" i="326"/>
  <c r="U16" i="326"/>
  <c r="T16" i="326"/>
  <c r="S16" i="326"/>
  <c r="K16" i="326"/>
  <c r="Z15" i="326"/>
  <c r="U15" i="326"/>
  <c r="T15" i="326"/>
  <c r="Q15" i="326"/>
  <c r="S15" i="326" s="1"/>
  <c r="K15" i="326"/>
  <c r="U14" i="326"/>
  <c r="T14" i="326"/>
  <c r="Q14" i="326"/>
  <c r="S14" i="326" s="1"/>
  <c r="K14" i="326"/>
  <c r="U13" i="326"/>
  <c r="S13" i="326"/>
  <c r="Q13" i="326"/>
  <c r="T13" i="326" s="1"/>
  <c r="K13" i="326"/>
  <c r="AC12" i="326"/>
  <c r="AB12" i="326"/>
  <c r="AA12" i="326"/>
  <c r="U12" i="326"/>
  <c r="S12" i="326"/>
  <c r="Q12" i="326"/>
  <c r="T12" i="326" s="1"/>
  <c r="K12" i="326"/>
  <c r="AH11" i="326"/>
  <c r="AE11" i="326"/>
  <c r="AA11" i="326"/>
  <c r="U11" i="326"/>
  <c r="T11" i="326"/>
  <c r="Q11" i="326"/>
  <c r="S11" i="326" s="1"/>
  <c r="K11" i="326"/>
  <c r="AH10" i="326"/>
  <c r="AE10" i="326"/>
  <c r="AB10" i="326"/>
  <c r="AC58" i="326" s="1"/>
  <c r="U10" i="326"/>
  <c r="Q10" i="326"/>
  <c r="S10" i="326" s="1"/>
  <c r="K10" i="326"/>
  <c r="U9" i="326"/>
  <c r="Q9" i="326"/>
  <c r="S9" i="326" s="1"/>
  <c r="K9" i="326"/>
  <c r="U8" i="326"/>
  <c r="T8" i="326"/>
  <c r="Q8" i="326"/>
  <c r="S8" i="326" s="1"/>
  <c r="K8" i="326"/>
  <c r="AT11" i="326" s="1"/>
  <c r="AU11" i="326" s="1"/>
  <c r="Z7" i="326"/>
  <c r="U7" i="326"/>
  <c r="Q7" i="326"/>
  <c r="T7" i="326" s="1"/>
  <c r="I7" i="326"/>
  <c r="H7" i="326"/>
  <c r="Z6" i="326"/>
  <c r="U6" i="326"/>
  <c r="T6" i="326"/>
  <c r="Q6" i="326"/>
  <c r="S6" i="326" s="1"/>
  <c r="K6" i="326"/>
  <c r="AM5" i="326"/>
  <c r="AM6" i="326" s="1"/>
  <c r="AM8" i="326" s="1"/>
  <c r="AL5" i="326"/>
  <c r="AL6" i="326" s="1"/>
  <c r="AL8" i="326" s="1"/>
  <c r="AK5" i="326"/>
  <c r="AK6" i="326" s="1"/>
  <c r="AK8" i="326" s="1"/>
  <c r="AJ5" i="326"/>
  <c r="AJ6" i="326" s="1"/>
  <c r="AJ8" i="326" s="1"/>
  <c r="U5" i="326"/>
  <c r="S5" i="326"/>
  <c r="Q5" i="326"/>
  <c r="T5" i="326" s="1"/>
  <c r="K5" i="326"/>
  <c r="U4" i="326"/>
  <c r="S4" i="326"/>
  <c r="Q4" i="326"/>
  <c r="T4" i="326" s="1"/>
  <c r="K4" i="326"/>
  <c r="AO3" i="326"/>
  <c r="U3" i="326"/>
  <c r="S3" i="326"/>
  <c r="Q3" i="326"/>
  <c r="T3" i="326" s="1"/>
  <c r="K3" i="326"/>
  <c r="U2" i="326"/>
  <c r="T2" i="326"/>
  <c r="Q2" i="326"/>
  <c r="K2" i="326"/>
  <c r="AC44" i="326" l="1"/>
  <c r="AC45" i="326"/>
  <c r="V49" i="326"/>
  <c r="V68" i="326"/>
  <c r="V72" i="326"/>
  <c r="X9" i="333"/>
  <c r="W10" i="333"/>
  <c r="AK78" i="332"/>
  <c r="AL79" i="332" s="1"/>
  <c r="AL75" i="332"/>
  <c r="AL78" i="332" s="1"/>
  <c r="X6" i="332"/>
  <c r="W7" i="332"/>
  <c r="W7" i="331"/>
  <c r="X6" i="331"/>
  <c r="AE5" i="330"/>
  <c r="Z70" i="330"/>
  <c r="AB17" i="330"/>
  <c r="AB36" i="330"/>
  <c r="AA37" i="330"/>
  <c r="AB37" i="330" s="1"/>
  <c r="AE79" i="330"/>
  <c r="AF79" i="330" s="1"/>
  <c r="AJ59" i="330"/>
  <c r="W5" i="330"/>
  <c r="X4" i="330"/>
  <c r="AE78" i="330"/>
  <c r="AN75" i="330"/>
  <c r="AN76" i="330" s="1"/>
  <c r="AB81" i="330"/>
  <c r="AD78" i="330"/>
  <c r="AC80" i="330"/>
  <c r="AB47" i="330"/>
  <c r="AA61" i="330"/>
  <c r="AE70" i="330" s="1"/>
  <c r="AA62" i="330"/>
  <c r="AD60" i="330"/>
  <c r="AE80" i="330" s="1"/>
  <c r="AG5" i="329"/>
  <c r="AE70" i="329"/>
  <c r="AB17" i="329"/>
  <c r="Z70" i="329"/>
  <c r="W4" i="329"/>
  <c r="X3" i="329"/>
  <c r="AB79" i="329"/>
  <c r="AD79" i="329" s="1"/>
  <c r="AK76" i="329" s="1"/>
  <c r="AL76" i="329" s="1"/>
  <c r="AD59" i="329"/>
  <c r="AD62" i="329" s="1"/>
  <c r="AE78" i="329"/>
  <c r="AN75" i="329"/>
  <c r="AN76" i="329" s="1"/>
  <c r="X2" i="329"/>
  <c r="Z62" i="329"/>
  <c r="Z5" i="329"/>
  <c r="AD78" i="329"/>
  <c r="AF5" i="329"/>
  <c r="AB92" i="326"/>
  <c r="AB93" i="326"/>
  <c r="V91" i="326"/>
  <c r="AB98" i="326"/>
  <c r="AB107" i="326"/>
  <c r="AC43" i="326"/>
  <c r="V100" i="326"/>
  <c r="AE37" i="328"/>
  <c r="J152" i="328"/>
  <c r="I152" i="328"/>
  <c r="AC4" i="328"/>
  <c r="Z59" i="328" s="1"/>
  <c r="K120" i="328"/>
  <c r="K146" i="328" s="1"/>
  <c r="K152" i="328" s="1"/>
  <c r="AB4" i="328"/>
  <c r="Z58" i="328" s="1"/>
  <c r="V105" i="328"/>
  <c r="AA4" i="328"/>
  <c r="AA3" i="328"/>
  <c r="Z18" i="328"/>
  <c r="Z24" i="328" s="1"/>
  <c r="W2" i="328" s="1"/>
  <c r="Z13" i="328"/>
  <c r="AA37" i="328"/>
  <c r="AB37" i="328" s="1"/>
  <c r="AB35" i="328"/>
  <c r="N105" i="328"/>
  <c r="O29" i="328"/>
  <c r="O15" i="328"/>
  <c r="O6" i="328"/>
  <c r="O2" i="328"/>
  <c r="O12" i="328"/>
  <c r="O3" i="328"/>
  <c r="O22" i="328"/>
  <c r="O19" i="328"/>
  <c r="O25" i="328"/>
  <c r="O20" i="328"/>
  <c r="O16" i="328"/>
  <c r="O9" i="328"/>
  <c r="O26" i="328"/>
  <c r="O28" i="328"/>
  <c r="O17" i="328"/>
  <c r="O10" i="328"/>
  <c r="O4" i="328"/>
  <c r="O13" i="328"/>
  <c r="O24" i="328"/>
  <c r="O11" i="328"/>
  <c r="O8" i="328"/>
  <c r="O27" i="328"/>
  <c r="O14" i="328"/>
  <c r="O5" i="328"/>
  <c r="AB80" i="328"/>
  <c r="AD80" i="328" s="1"/>
  <c r="AK77" i="328" s="1"/>
  <c r="AL77" i="328" s="1"/>
  <c r="AD60" i="328"/>
  <c r="AE80" i="328" s="1"/>
  <c r="Z53" i="328"/>
  <c r="X2" i="327"/>
  <c r="AB4" i="327"/>
  <c r="AG4" i="327" s="1"/>
  <c r="AG5" i="327" s="1"/>
  <c r="V105" i="327"/>
  <c r="S109" i="327"/>
  <c r="J152" i="327"/>
  <c r="I152" i="327"/>
  <c r="AE37" i="327"/>
  <c r="K120" i="327"/>
  <c r="K146" i="327" s="1"/>
  <c r="K152" i="327" s="1"/>
  <c r="Z5" i="327"/>
  <c r="AB35" i="327"/>
  <c r="AA37" i="327"/>
  <c r="AB37" i="327" s="1"/>
  <c r="AB80" i="327"/>
  <c r="AD80" i="327" s="1"/>
  <c r="AK77" i="327" s="1"/>
  <c r="AL77" i="327" s="1"/>
  <c r="AD60" i="327"/>
  <c r="AE80" i="327" s="1"/>
  <c r="Z53" i="327"/>
  <c r="Z59" i="327"/>
  <c r="AC5" i="327"/>
  <c r="X3" i="327"/>
  <c r="W4" i="327"/>
  <c r="V33" i="326"/>
  <c r="V44" i="326"/>
  <c r="K130" i="326"/>
  <c r="AH12" i="326"/>
  <c r="AC61" i="326"/>
  <c r="AA69" i="326" s="1"/>
  <c r="V67" i="326"/>
  <c r="AT6" i="326"/>
  <c r="AU6" i="326" s="1"/>
  <c r="AT17" i="326"/>
  <c r="AU17" i="326" s="1"/>
  <c r="V14" i="326"/>
  <c r="V32" i="326"/>
  <c r="V36" i="326"/>
  <c r="V56" i="326"/>
  <c r="V86" i="326"/>
  <c r="V90" i="326"/>
  <c r="N94" i="326"/>
  <c r="O102" i="326" s="1"/>
  <c r="V94" i="326"/>
  <c r="V96" i="326"/>
  <c r="J141" i="326"/>
  <c r="J148" i="326"/>
  <c r="K133" i="326"/>
  <c r="AT4" i="326"/>
  <c r="AU4" i="326" s="1"/>
  <c r="V60" i="326"/>
  <c r="V61" i="326"/>
  <c r="V63" i="326"/>
  <c r="V64" i="326"/>
  <c r="AT14" i="326"/>
  <c r="AU14" i="326" s="1"/>
  <c r="V85" i="326"/>
  <c r="V11" i="326"/>
  <c r="AT12" i="326"/>
  <c r="AU12" i="326" s="1"/>
  <c r="V26" i="326"/>
  <c r="V38" i="326"/>
  <c r="V74" i="326"/>
  <c r="V92" i="326"/>
  <c r="V93" i="326"/>
  <c r="V101" i="326"/>
  <c r="K134" i="326"/>
  <c r="V82" i="326"/>
  <c r="V98" i="326"/>
  <c r="V41" i="326"/>
  <c r="V47" i="326"/>
  <c r="V81" i="326"/>
  <c r="V88" i="326"/>
  <c r="V97" i="326"/>
  <c r="V102" i="326"/>
  <c r="J145" i="326"/>
  <c r="K128" i="326"/>
  <c r="J150" i="326"/>
  <c r="V28" i="326"/>
  <c r="V4" i="326"/>
  <c r="V3" i="326"/>
  <c r="V29" i="326"/>
  <c r="K115" i="326"/>
  <c r="V6" i="326"/>
  <c r="T9" i="326"/>
  <c r="V9" i="326" s="1"/>
  <c r="V19" i="326"/>
  <c r="V20" i="326"/>
  <c r="V24" i="326"/>
  <c r="T10" i="326"/>
  <c r="V10" i="326" s="1"/>
  <c r="Z37" i="326"/>
  <c r="V51" i="326"/>
  <c r="V107" i="326" s="1"/>
  <c r="V109" i="326" s="1"/>
  <c r="V59" i="326"/>
  <c r="V66" i="326"/>
  <c r="V71" i="326"/>
  <c r="K129" i="326"/>
  <c r="I147" i="326"/>
  <c r="V21" i="326"/>
  <c r="V22" i="326"/>
  <c r="AE26" i="326"/>
  <c r="AE27" i="326" s="1"/>
  <c r="V27" i="326"/>
  <c r="V31" i="326"/>
  <c r="V37" i="326"/>
  <c r="V39" i="326"/>
  <c r="V42" i="326"/>
  <c r="V48" i="326"/>
  <c r="V50" i="326"/>
  <c r="V54" i="326"/>
  <c r="V58" i="326"/>
  <c r="AB61" i="326"/>
  <c r="V70" i="326"/>
  <c r="V76" i="326"/>
  <c r="J110" i="326"/>
  <c r="J117" i="326"/>
  <c r="K132" i="326"/>
  <c r="K135" i="326"/>
  <c r="K137" i="326"/>
  <c r="K150" i="326" s="1"/>
  <c r="V12" i="326"/>
  <c r="V18" i="326"/>
  <c r="V87" i="326"/>
  <c r="J108" i="326"/>
  <c r="J111" i="326" s="1"/>
  <c r="J121" i="326"/>
  <c r="J147" i="326" s="1"/>
  <c r="V5" i="326"/>
  <c r="V13" i="326"/>
  <c r="V15" i="326"/>
  <c r="V23" i="326"/>
  <c r="V25" i="326"/>
  <c r="V30" i="326"/>
  <c r="V35" i="326"/>
  <c r="V52" i="326"/>
  <c r="V55" i="326"/>
  <c r="V57" i="326"/>
  <c r="V69" i="326"/>
  <c r="V73" i="326"/>
  <c r="V78" i="326"/>
  <c r="V80" i="326"/>
  <c r="V83" i="326"/>
  <c r="V89" i="326"/>
  <c r="Z16" i="326"/>
  <c r="AA16" i="326" s="1"/>
  <c r="AA15" i="326"/>
  <c r="AC36" i="326"/>
  <c r="AT7" i="326"/>
  <c r="AU7" i="326" s="1"/>
  <c r="AT19" i="326"/>
  <c r="AU19" i="326" s="1"/>
  <c r="N27" i="326"/>
  <c r="O55" i="326" s="1"/>
  <c r="AD34" i="326"/>
  <c r="AC35" i="326"/>
  <c r="N50" i="326"/>
  <c r="U105" i="326"/>
  <c r="AD4" i="326" s="1"/>
  <c r="AT5" i="326"/>
  <c r="AU5" i="326" s="1"/>
  <c r="AA9" i="326"/>
  <c r="Z10" i="326"/>
  <c r="N56" i="326"/>
  <c r="O60" i="326" s="1"/>
  <c r="N81" i="326"/>
  <c r="O82" i="326" s="1"/>
  <c r="AT8" i="326"/>
  <c r="AU8" i="326" s="1"/>
  <c r="I105" i="326"/>
  <c r="I120" i="326"/>
  <c r="AT16" i="326"/>
  <c r="AU16" i="326" s="1"/>
  <c r="S17" i="326"/>
  <c r="V17" i="326" s="1"/>
  <c r="AC42" i="326"/>
  <c r="V45" i="326"/>
  <c r="AT18" i="326"/>
  <c r="AU18" i="326" s="1"/>
  <c r="V53" i="326"/>
  <c r="AN74" i="326"/>
  <c r="AO73" i="326"/>
  <c r="I142" i="326"/>
  <c r="J116" i="326"/>
  <c r="J142" i="326" s="1"/>
  <c r="K123" i="326"/>
  <c r="K149" i="326" s="1"/>
  <c r="I149" i="326"/>
  <c r="I145" i="326"/>
  <c r="I150" i="326"/>
  <c r="I141" i="326"/>
  <c r="Q105" i="326"/>
  <c r="V8" i="326"/>
  <c r="V16" i="326"/>
  <c r="V34" i="326"/>
  <c r="V40" i="326"/>
  <c r="V43" i="326"/>
  <c r="V46" i="326"/>
  <c r="AG59" i="326"/>
  <c r="AI59" i="326" s="1"/>
  <c r="N85" i="326"/>
  <c r="I148" i="326"/>
  <c r="K122" i="326"/>
  <c r="S2" i="326"/>
  <c r="S7" i="326"/>
  <c r="V7" i="326" s="1"/>
  <c r="K7" i="326"/>
  <c r="AT15" i="326"/>
  <c r="AU15" i="326" s="1"/>
  <c r="AT22" i="326"/>
  <c r="AU22" i="326" s="1"/>
  <c r="J151" i="326"/>
  <c r="K151" i="326" s="1"/>
  <c r="AB62" i="326"/>
  <c r="V62" i="326"/>
  <c r="V65" i="326"/>
  <c r="V84" i="326"/>
  <c r="X84" i="326" s="1"/>
  <c r="H105" i="326"/>
  <c r="K119" i="326"/>
  <c r="J160" i="326"/>
  <c r="L160" i="326" s="1"/>
  <c r="V75" i="326"/>
  <c r="V77" i="326"/>
  <c r="V79" i="326"/>
  <c r="AA81" i="326"/>
  <c r="AA86" i="326" s="1"/>
  <c r="AB86" i="326" s="1"/>
  <c r="AC86" i="326" s="1"/>
  <c r="AD86" i="326" s="1"/>
  <c r="AD87" i="326" s="1"/>
  <c r="AD88" i="326" s="1"/>
  <c r="AI79" i="326"/>
  <c r="V95" i="326"/>
  <c r="V99" i="326"/>
  <c r="V103" i="326"/>
  <c r="I144" i="326"/>
  <c r="J118" i="326"/>
  <c r="P170" i="325"/>
  <c r="Q169" i="325" s="1"/>
  <c r="I170" i="325"/>
  <c r="R169" i="325"/>
  <c r="Q168" i="325"/>
  <c r="R168" i="325" s="1"/>
  <c r="Q167" i="325"/>
  <c r="R167" i="325" s="1"/>
  <c r="Q162" i="325"/>
  <c r="R160" i="325" s="1"/>
  <c r="I162" i="325"/>
  <c r="T160" i="325"/>
  <c r="J160" i="325"/>
  <c r="L160" i="325" s="1"/>
  <c r="J159" i="325"/>
  <c r="L159" i="325" s="1"/>
  <c r="J158" i="325"/>
  <c r="L158" i="325" s="1"/>
  <c r="K138" i="325"/>
  <c r="J138" i="325"/>
  <c r="I138" i="325"/>
  <c r="J137" i="325"/>
  <c r="I137" i="325"/>
  <c r="J136" i="325"/>
  <c r="I136" i="325"/>
  <c r="K136" i="325" s="1"/>
  <c r="J135" i="325"/>
  <c r="I135" i="325"/>
  <c r="J134" i="325"/>
  <c r="I134" i="325"/>
  <c r="J133" i="325"/>
  <c r="I133" i="325"/>
  <c r="J132" i="325"/>
  <c r="I132" i="325"/>
  <c r="J131" i="325"/>
  <c r="I131" i="325"/>
  <c r="K131" i="325" s="1"/>
  <c r="J130" i="325"/>
  <c r="I130" i="325"/>
  <c r="J129" i="325"/>
  <c r="I129" i="325"/>
  <c r="J128" i="325"/>
  <c r="I128" i="325"/>
  <c r="I125" i="325"/>
  <c r="I124" i="325"/>
  <c r="J124" i="325" s="1"/>
  <c r="J123" i="325"/>
  <c r="J149" i="325" s="1"/>
  <c r="I123" i="325"/>
  <c r="J122" i="325"/>
  <c r="I122" i="325"/>
  <c r="I121" i="325"/>
  <c r="I119" i="325"/>
  <c r="I118" i="325"/>
  <c r="I117" i="325"/>
  <c r="I116" i="325"/>
  <c r="AC115" i="325"/>
  <c r="J115" i="325"/>
  <c r="B115" i="325"/>
  <c r="I111" i="325"/>
  <c r="J110" i="325" s="1"/>
  <c r="P106" i="325"/>
  <c r="R105" i="325"/>
  <c r="P105" i="325"/>
  <c r="M105" i="325"/>
  <c r="J105" i="325"/>
  <c r="B105" i="325"/>
  <c r="U103" i="325"/>
  <c r="T103" i="325"/>
  <c r="S103" i="325"/>
  <c r="Q103" i="325"/>
  <c r="K103" i="325"/>
  <c r="U102" i="325"/>
  <c r="T102" i="325"/>
  <c r="S102" i="325"/>
  <c r="Q102" i="325"/>
  <c r="K102" i="325"/>
  <c r="U101" i="325"/>
  <c r="T101" i="325"/>
  <c r="S101" i="325"/>
  <c r="Q101" i="325"/>
  <c r="K101" i="325"/>
  <c r="U100" i="325"/>
  <c r="T100" i="325"/>
  <c r="S100" i="325"/>
  <c r="Q100" i="325"/>
  <c r="K100" i="325"/>
  <c r="U99" i="325"/>
  <c r="T99" i="325"/>
  <c r="S99" i="325"/>
  <c r="Q99" i="325"/>
  <c r="K99" i="325"/>
  <c r="U98" i="325"/>
  <c r="T98" i="325"/>
  <c r="S98" i="325"/>
  <c r="Q98" i="325"/>
  <c r="K98" i="325"/>
  <c r="U97" i="325"/>
  <c r="T97" i="325"/>
  <c r="S97" i="325"/>
  <c r="Q97" i="325"/>
  <c r="K97" i="325"/>
  <c r="U96" i="325"/>
  <c r="T96" i="325"/>
  <c r="S96" i="325"/>
  <c r="Q96" i="325"/>
  <c r="K96" i="325"/>
  <c r="U95" i="325"/>
  <c r="T95" i="325"/>
  <c r="S95" i="325"/>
  <c r="Q95" i="325"/>
  <c r="K95" i="325"/>
  <c r="U94" i="325"/>
  <c r="T94" i="325"/>
  <c r="S94" i="325"/>
  <c r="Q94" i="325"/>
  <c r="K94" i="325"/>
  <c r="U93" i="325"/>
  <c r="T93" i="325"/>
  <c r="S93" i="325"/>
  <c r="Q93" i="325"/>
  <c r="K93" i="325"/>
  <c r="U92" i="325"/>
  <c r="T92" i="325"/>
  <c r="S92" i="325"/>
  <c r="Q92" i="325"/>
  <c r="K92" i="325"/>
  <c r="U91" i="325"/>
  <c r="T91" i="325"/>
  <c r="S91" i="325"/>
  <c r="Q91" i="325"/>
  <c r="K91" i="325"/>
  <c r="U90" i="325"/>
  <c r="T90" i="325"/>
  <c r="S90" i="325"/>
  <c r="Q90" i="325"/>
  <c r="K90" i="325"/>
  <c r="U89" i="325"/>
  <c r="T89" i="325"/>
  <c r="S89" i="325"/>
  <c r="Q89" i="325"/>
  <c r="K89" i="325"/>
  <c r="U88" i="325"/>
  <c r="T88" i="325"/>
  <c r="S88" i="325"/>
  <c r="Q88" i="325"/>
  <c r="K88" i="325"/>
  <c r="AE87" i="325"/>
  <c r="AF86" i="325" s="1"/>
  <c r="AG86" i="325" s="1"/>
  <c r="AH86" i="325" s="1"/>
  <c r="AH87" i="325" s="1"/>
  <c r="AH88" i="325" s="1"/>
  <c r="AA87" i="325"/>
  <c r="Y87" i="325"/>
  <c r="U87" i="325"/>
  <c r="T87" i="325"/>
  <c r="S87" i="325"/>
  <c r="Q87" i="325"/>
  <c r="K87" i="325"/>
  <c r="U86" i="325"/>
  <c r="T86" i="325"/>
  <c r="S86" i="325"/>
  <c r="Q86" i="325"/>
  <c r="K86" i="325"/>
  <c r="U85" i="325"/>
  <c r="T85" i="325"/>
  <c r="S85" i="325"/>
  <c r="Q85" i="325"/>
  <c r="K85" i="325"/>
  <c r="U84" i="325"/>
  <c r="T84" i="325"/>
  <c r="S84" i="325"/>
  <c r="Q84" i="325"/>
  <c r="K84" i="325"/>
  <c r="U83" i="325"/>
  <c r="T83" i="325"/>
  <c r="S83" i="325"/>
  <c r="Q83" i="325"/>
  <c r="K83" i="325"/>
  <c r="U82" i="325"/>
  <c r="T82" i="325"/>
  <c r="S82" i="325"/>
  <c r="Q82" i="325"/>
  <c r="K82" i="325"/>
  <c r="Z81" i="325"/>
  <c r="U81" i="325"/>
  <c r="T81" i="325"/>
  <c r="S81" i="325"/>
  <c r="Q81" i="325"/>
  <c r="K81" i="325"/>
  <c r="AI80" i="325"/>
  <c r="U80" i="325"/>
  <c r="T80" i="325"/>
  <c r="S80" i="325"/>
  <c r="Q80" i="325"/>
  <c r="K80" i="325"/>
  <c r="AA79" i="325"/>
  <c r="U79" i="325"/>
  <c r="T79" i="325"/>
  <c r="S79" i="325"/>
  <c r="Q79" i="325"/>
  <c r="K79" i="325"/>
  <c r="AI78" i="325"/>
  <c r="U78" i="325"/>
  <c r="T78" i="325"/>
  <c r="S78" i="325"/>
  <c r="Q78" i="325"/>
  <c r="K78" i="325"/>
  <c r="U77" i="325"/>
  <c r="T77" i="325"/>
  <c r="S77" i="325"/>
  <c r="Q77" i="325"/>
  <c r="K77" i="325"/>
  <c r="U76" i="325"/>
  <c r="T76" i="325"/>
  <c r="S76" i="325"/>
  <c r="Q76" i="325"/>
  <c r="K76" i="325"/>
  <c r="U75" i="325"/>
  <c r="T75" i="325"/>
  <c r="S75" i="325"/>
  <c r="Q75" i="325"/>
  <c r="K75" i="325"/>
  <c r="U74" i="325"/>
  <c r="T74" i="325"/>
  <c r="S74" i="325"/>
  <c r="Q74" i="325"/>
  <c r="K74" i="325"/>
  <c r="AP73" i="325"/>
  <c r="AQ73" i="325" s="1"/>
  <c r="AD73" i="325"/>
  <c r="AM72" i="325" s="1"/>
  <c r="AN73" i="325" s="1"/>
  <c r="Z73" i="325"/>
  <c r="U73" i="325"/>
  <c r="T73" i="325"/>
  <c r="S73" i="325"/>
  <c r="Q73" i="325"/>
  <c r="K73" i="325"/>
  <c r="Z72" i="325"/>
  <c r="U72" i="325"/>
  <c r="T72" i="325"/>
  <c r="S72" i="325"/>
  <c r="Q72" i="325"/>
  <c r="K72" i="325"/>
  <c r="U71" i="325"/>
  <c r="T71" i="325"/>
  <c r="S71" i="325"/>
  <c r="Q71" i="325"/>
  <c r="K71" i="325"/>
  <c r="U70" i="325"/>
  <c r="T70" i="325"/>
  <c r="S70" i="325"/>
  <c r="Q70" i="325"/>
  <c r="K70" i="325"/>
  <c r="U69" i="325"/>
  <c r="T69" i="325"/>
  <c r="S69" i="325"/>
  <c r="Q69" i="325"/>
  <c r="K69" i="325"/>
  <c r="U68" i="325"/>
  <c r="T68" i="325"/>
  <c r="S68" i="325"/>
  <c r="Q68" i="325"/>
  <c r="K68" i="325"/>
  <c r="AL67" i="325"/>
  <c r="AA67" i="325"/>
  <c r="U67" i="325"/>
  <c r="T67" i="325"/>
  <c r="S67" i="325"/>
  <c r="Q67" i="325"/>
  <c r="K67" i="325"/>
  <c r="AF66" i="325"/>
  <c r="U66" i="325"/>
  <c r="T66" i="325"/>
  <c r="S66" i="325"/>
  <c r="Q66" i="325"/>
  <c r="K66" i="325"/>
  <c r="AF65" i="325"/>
  <c r="U65" i="325"/>
  <c r="T65" i="325"/>
  <c r="S65" i="325"/>
  <c r="Q65" i="325"/>
  <c r="K65" i="325"/>
  <c r="AL64" i="325"/>
  <c r="U64" i="325"/>
  <c r="T64" i="325"/>
  <c r="S64" i="325"/>
  <c r="Q64" i="325"/>
  <c r="K64" i="325"/>
  <c r="U63" i="325"/>
  <c r="T63" i="325"/>
  <c r="S63" i="325"/>
  <c r="Q63" i="325"/>
  <c r="K63" i="325"/>
  <c r="AC62" i="325"/>
  <c r="U62" i="325"/>
  <c r="T62" i="325"/>
  <c r="S62" i="325"/>
  <c r="Q62" i="325"/>
  <c r="K62" i="325"/>
  <c r="AE61" i="325"/>
  <c r="U61" i="325"/>
  <c r="T61" i="325"/>
  <c r="S61" i="325"/>
  <c r="Q61" i="325"/>
  <c r="K61" i="325"/>
  <c r="AL60" i="325"/>
  <c r="U60" i="325"/>
  <c r="T60" i="325"/>
  <c r="S60" i="325"/>
  <c r="Q60" i="325"/>
  <c r="K60" i="325"/>
  <c r="AH59" i="325"/>
  <c r="AE59" i="325"/>
  <c r="AG59" i="325" s="1"/>
  <c r="AB59" i="325"/>
  <c r="AA59" i="325"/>
  <c r="AC79" i="325" s="1"/>
  <c r="U59" i="325"/>
  <c r="T59" i="325"/>
  <c r="S59" i="325"/>
  <c r="Q59" i="325"/>
  <c r="K59" i="325"/>
  <c r="AB58" i="325"/>
  <c r="AA58" i="325"/>
  <c r="U58" i="325"/>
  <c r="T58" i="325"/>
  <c r="S58" i="325"/>
  <c r="Q58" i="325"/>
  <c r="K58" i="325"/>
  <c r="U57" i="325"/>
  <c r="T57" i="325"/>
  <c r="S57" i="325"/>
  <c r="Q57" i="325"/>
  <c r="K57" i="325"/>
  <c r="U56" i="325"/>
  <c r="T56" i="325"/>
  <c r="S56" i="325"/>
  <c r="Q56" i="325"/>
  <c r="K56" i="325"/>
  <c r="AL55" i="325"/>
  <c r="Y55" i="325"/>
  <c r="U55" i="325"/>
  <c r="S55" i="325"/>
  <c r="Q55" i="325"/>
  <c r="T55" i="325" s="1"/>
  <c r="K55" i="325"/>
  <c r="U54" i="325"/>
  <c r="T54" i="325"/>
  <c r="S54" i="325"/>
  <c r="Q54" i="325"/>
  <c r="K54" i="325"/>
  <c r="AM53" i="325"/>
  <c r="AM55" i="325" s="1"/>
  <c r="Y53" i="325"/>
  <c r="U53" i="325"/>
  <c r="T53" i="325"/>
  <c r="Q53" i="325"/>
  <c r="S53" i="325" s="1"/>
  <c r="K53" i="325"/>
  <c r="U52" i="325"/>
  <c r="T52" i="325"/>
  <c r="S52" i="325"/>
  <c r="Q52" i="325"/>
  <c r="K52" i="325"/>
  <c r="Y51" i="325"/>
  <c r="U51" i="325"/>
  <c r="T51" i="325"/>
  <c r="S51" i="325"/>
  <c r="K51" i="325"/>
  <c r="AB50" i="325"/>
  <c r="U50" i="325"/>
  <c r="T50" i="325"/>
  <c r="S50" i="325"/>
  <c r="Q50" i="325"/>
  <c r="K50" i="325"/>
  <c r="Y49" i="325"/>
  <c r="Z49" i="325" s="1"/>
  <c r="U49" i="325"/>
  <c r="T49" i="325"/>
  <c r="S49" i="325"/>
  <c r="Q49" i="325"/>
  <c r="K49" i="325"/>
  <c r="Y48" i="325"/>
  <c r="Z48" i="325" s="1"/>
  <c r="U48" i="325"/>
  <c r="T48" i="325"/>
  <c r="S48" i="325"/>
  <c r="Q48" i="325"/>
  <c r="K48" i="325"/>
  <c r="U47" i="325"/>
  <c r="T47" i="325"/>
  <c r="S47" i="325"/>
  <c r="Q47" i="325"/>
  <c r="K47" i="325"/>
  <c r="AF46" i="325"/>
  <c r="U46" i="325"/>
  <c r="T46" i="325"/>
  <c r="Q46" i="325"/>
  <c r="S46" i="325" s="1"/>
  <c r="K46" i="325"/>
  <c r="AB45" i="325"/>
  <c r="AA45" i="325"/>
  <c r="U45" i="325"/>
  <c r="T45" i="325"/>
  <c r="S45" i="325"/>
  <c r="Q45" i="325"/>
  <c r="K45" i="325"/>
  <c r="AE44" i="325"/>
  <c r="AE46" i="325" s="1"/>
  <c r="AB44" i="325"/>
  <c r="AA44" i="325"/>
  <c r="U44" i="325"/>
  <c r="T44" i="325"/>
  <c r="S44" i="325"/>
  <c r="Q44" i="325"/>
  <c r="K44" i="325"/>
  <c r="AB43" i="325"/>
  <c r="AA43" i="325"/>
  <c r="U43" i="325"/>
  <c r="T43" i="325"/>
  <c r="S43" i="325"/>
  <c r="Q43" i="325"/>
  <c r="K43" i="325"/>
  <c r="U42" i="325"/>
  <c r="T42" i="325"/>
  <c r="S42" i="325"/>
  <c r="Q42" i="325"/>
  <c r="K42" i="325"/>
  <c r="U41" i="325"/>
  <c r="T41" i="325"/>
  <c r="S41" i="325"/>
  <c r="Q41" i="325"/>
  <c r="K41" i="325"/>
  <c r="U40" i="325"/>
  <c r="T40" i="325"/>
  <c r="S40" i="325"/>
  <c r="K40" i="325"/>
  <c r="AH39" i="325"/>
  <c r="U39" i="325"/>
  <c r="T39" i="325"/>
  <c r="S39" i="325"/>
  <c r="Q39" i="325"/>
  <c r="K39" i="325"/>
  <c r="U38" i="325"/>
  <c r="T38" i="325"/>
  <c r="S38" i="325"/>
  <c r="Q38" i="325"/>
  <c r="K38" i="325"/>
  <c r="U37" i="325"/>
  <c r="T37" i="325"/>
  <c r="S37" i="325"/>
  <c r="Q37" i="325"/>
  <c r="K37" i="325"/>
  <c r="Z36" i="325"/>
  <c r="U36" i="325"/>
  <c r="T36" i="325"/>
  <c r="S36" i="325"/>
  <c r="Q36" i="325"/>
  <c r="K36" i="325"/>
  <c r="Z35" i="325"/>
  <c r="U35" i="325"/>
  <c r="T35" i="325"/>
  <c r="S35" i="325"/>
  <c r="Q35" i="325"/>
  <c r="K35" i="325"/>
  <c r="AI34" i="325"/>
  <c r="AH34" i="325"/>
  <c r="AC34" i="325"/>
  <c r="AD34" i="325" s="1"/>
  <c r="AD35" i="325" s="1"/>
  <c r="U34" i="325"/>
  <c r="T34" i="325"/>
  <c r="S34" i="325"/>
  <c r="Q34" i="325"/>
  <c r="K34" i="325"/>
  <c r="U33" i="325"/>
  <c r="T33" i="325"/>
  <c r="S33" i="325"/>
  <c r="Q33" i="325"/>
  <c r="K33" i="325"/>
  <c r="U32" i="325"/>
  <c r="T32" i="325"/>
  <c r="S32" i="325"/>
  <c r="Q32" i="325"/>
  <c r="K32" i="325"/>
  <c r="U31" i="325"/>
  <c r="T31" i="325"/>
  <c r="S31" i="325"/>
  <c r="Q31" i="325"/>
  <c r="K31" i="325"/>
  <c r="Z30" i="325"/>
  <c r="U30" i="325"/>
  <c r="T30" i="325"/>
  <c r="S30" i="325"/>
  <c r="Q30" i="325"/>
  <c r="K30" i="325"/>
  <c r="U29" i="325"/>
  <c r="J125" i="325" s="1"/>
  <c r="J151" i="325" s="1"/>
  <c r="T29" i="325"/>
  <c r="S29" i="325"/>
  <c r="Q29" i="325"/>
  <c r="K29" i="325"/>
  <c r="AA28" i="325"/>
  <c r="U28" i="325"/>
  <c r="T28" i="325"/>
  <c r="S28" i="325"/>
  <c r="Q28" i="325"/>
  <c r="K28" i="325"/>
  <c r="AC27" i="325"/>
  <c r="AA27" i="325"/>
  <c r="U27" i="325"/>
  <c r="T27" i="325"/>
  <c r="S27" i="325"/>
  <c r="Q27" i="325"/>
  <c r="K27" i="325"/>
  <c r="AC26" i="325"/>
  <c r="T26" i="325"/>
  <c r="S26" i="325"/>
  <c r="Q26" i="325"/>
  <c r="U26" i="325" s="1"/>
  <c r="K26" i="325"/>
  <c r="AE25" i="325"/>
  <c r="U25" i="325"/>
  <c r="T25" i="325"/>
  <c r="Q25" i="325"/>
  <c r="S25" i="325" s="1"/>
  <c r="K25" i="325"/>
  <c r="U24" i="325"/>
  <c r="T24" i="325"/>
  <c r="S24" i="325"/>
  <c r="Q24" i="325"/>
  <c r="K24" i="325"/>
  <c r="U23" i="325"/>
  <c r="T23" i="325"/>
  <c r="S23" i="325"/>
  <c r="Q23" i="325"/>
  <c r="K23" i="325"/>
  <c r="U22" i="325"/>
  <c r="Q22" i="325"/>
  <c r="S22" i="325" s="1"/>
  <c r="K22" i="325"/>
  <c r="U21" i="325"/>
  <c r="T21" i="325"/>
  <c r="S21" i="325"/>
  <c r="Q21" i="325"/>
  <c r="K21" i="325"/>
  <c r="U20" i="325"/>
  <c r="T20" i="325"/>
  <c r="Q20" i="325"/>
  <c r="S20" i="325" s="1"/>
  <c r="K20" i="325"/>
  <c r="U19" i="325"/>
  <c r="T19" i="325"/>
  <c r="S19" i="325"/>
  <c r="Q19" i="325"/>
  <c r="K19" i="325"/>
  <c r="U18" i="325"/>
  <c r="S18" i="325"/>
  <c r="Q18" i="325"/>
  <c r="T18" i="325" s="1"/>
  <c r="K18" i="325"/>
  <c r="U17" i="325"/>
  <c r="Q17" i="325"/>
  <c r="K17" i="325"/>
  <c r="U16" i="325"/>
  <c r="T16" i="325"/>
  <c r="S16" i="325"/>
  <c r="K16" i="325"/>
  <c r="Z15" i="325"/>
  <c r="AA15" i="325" s="1"/>
  <c r="U15" i="325"/>
  <c r="T15" i="325"/>
  <c r="Q15" i="325"/>
  <c r="S15" i="325" s="1"/>
  <c r="K15" i="325"/>
  <c r="U14" i="325"/>
  <c r="T14" i="325"/>
  <c r="Q14" i="325"/>
  <c r="S14" i="325" s="1"/>
  <c r="K14" i="325"/>
  <c r="U13" i="325"/>
  <c r="Q13" i="325"/>
  <c r="T13" i="325" s="1"/>
  <c r="K13" i="325"/>
  <c r="AC12" i="325"/>
  <c r="AB12" i="325"/>
  <c r="AA12" i="325"/>
  <c r="U12" i="325"/>
  <c r="Q12" i="325"/>
  <c r="T12" i="325" s="1"/>
  <c r="K12" i="325"/>
  <c r="AH11" i="325"/>
  <c r="AE11" i="325"/>
  <c r="AA11" i="325"/>
  <c r="U11" i="325"/>
  <c r="T11" i="325"/>
  <c r="Q11" i="325"/>
  <c r="S11" i="325" s="1"/>
  <c r="K11" i="325"/>
  <c r="AH10" i="325"/>
  <c r="AE10" i="325"/>
  <c r="AB10" i="325"/>
  <c r="Z10" i="325"/>
  <c r="AA10" i="325" s="1"/>
  <c r="U10" i="325"/>
  <c r="Q10" i="325"/>
  <c r="S10" i="325" s="1"/>
  <c r="K10" i="325"/>
  <c r="AA9" i="325"/>
  <c r="U9" i="325"/>
  <c r="Q9" i="325"/>
  <c r="S9" i="325" s="1"/>
  <c r="K9" i="325"/>
  <c r="U8" i="325"/>
  <c r="T8" i="325"/>
  <c r="Q8" i="325"/>
  <c r="S8" i="325" s="1"/>
  <c r="K8" i="325"/>
  <c r="Z7" i="325"/>
  <c r="U7" i="325"/>
  <c r="Q7" i="325"/>
  <c r="Z6" i="325"/>
  <c r="U6" i="325"/>
  <c r="T6" i="325"/>
  <c r="Q6" i="325"/>
  <c r="S6" i="325" s="1"/>
  <c r="K6" i="325"/>
  <c r="AM5" i="325"/>
  <c r="AM6" i="325" s="1"/>
  <c r="AM8" i="325" s="1"/>
  <c r="AL5" i="325"/>
  <c r="AL6" i="325" s="1"/>
  <c r="AL8" i="325" s="1"/>
  <c r="AK5" i="325"/>
  <c r="AK6" i="325" s="1"/>
  <c r="AK8" i="325" s="1"/>
  <c r="AJ5" i="325"/>
  <c r="AJ6" i="325" s="1"/>
  <c r="AJ8" i="325" s="1"/>
  <c r="U5" i="325"/>
  <c r="S5" i="325"/>
  <c r="Q5" i="325"/>
  <c r="T5" i="325" s="1"/>
  <c r="K5" i="325"/>
  <c r="U4" i="325"/>
  <c r="S4" i="325"/>
  <c r="Q4" i="325"/>
  <c r="T4" i="325" s="1"/>
  <c r="K4" i="325"/>
  <c r="AO3" i="325"/>
  <c r="U3" i="325"/>
  <c r="S3" i="325"/>
  <c r="Q3" i="325"/>
  <c r="T3" i="325" s="1"/>
  <c r="K3" i="325"/>
  <c r="AT5" i="325" s="1"/>
  <c r="AU5" i="325" s="1"/>
  <c r="U2" i="325"/>
  <c r="T2" i="325"/>
  <c r="Q2" i="325"/>
  <c r="K2" i="325"/>
  <c r="AB100" i="326" l="1"/>
  <c r="AB95" i="326"/>
  <c r="W11" i="333"/>
  <c r="X10" i="333"/>
  <c r="W8" i="332"/>
  <c r="X7" i="332"/>
  <c r="W8" i="331"/>
  <c r="X7" i="331"/>
  <c r="AC81" i="330"/>
  <c r="AD80" i="330"/>
  <c r="AK77" i="330" s="1"/>
  <c r="AL77" i="330" s="1"/>
  <c r="AD62" i="330"/>
  <c r="AK75" i="330"/>
  <c r="AE81" i="330"/>
  <c r="AF78" i="330"/>
  <c r="W6" i="330"/>
  <c r="X5" i="330"/>
  <c r="AD61" i="330"/>
  <c r="AB81" i="329"/>
  <c r="AD81" i="329"/>
  <c r="AK75" i="329"/>
  <c r="X4" i="329"/>
  <c r="W5" i="329"/>
  <c r="AE79" i="329"/>
  <c r="AF79" i="329" s="1"/>
  <c r="AJ59" i="329"/>
  <c r="AD61" i="329"/>
  <c r="AF78" i="329"/>
  <c r="K145" i="326"/>
  <c r="AB97" i="326"/>
  <c r="O100" i="326"/>
  <c r="AC5" i="328"/>
  <c r="AE4" i="328"/>
  <c r="AF4" i="328" s="1"/>
  <c r="AB5" i="328"/>
  <c r="AF80" i="328"/>
  <c r="Z4" i="328"/>
  <c r="Z3" i="328"/>
  <c r="W3" i="328"/>
  <c r="AB79" i="328"/>
  <c r="AD79" i="328" s="1"/>
  <c r="AK76" i="328" s="1"/>
  <c r="AL76" i="328" s="1"/>
  <c r="AD59" i="328"/>
  <c r="AG3" i="328"/>
  <c r="AF3" i="328"/>
  <c r="AA5" i="328"/>
  <c r="Z61" i="328"/>
  <c r="AB78" i="328"/>
  <c r="AD58" i="328"/>
  <c r="Z62" i="328"/>
  <c r="L2" i="328"/>
  <c r="L3" i="328" s="1"/>
  <c r="L4" i="328" s="1"/>
  <c r="L5" i="328" s="1"/>
  <c r="L6" i="328" s="1"/>
  <c r="L7" i="328" s="1"/>
  <c r="L8" i="328" s="1"/>
  <c r="L9" i="328" s="1"/>
  <c r="L10" i="328" s="1"/>
  <c r="L11" i="328" s="1"/>
  <c r="L12" i="328" s="1"/>
  <c r="L13" i="328" s="1"/>
  <c r="L14" i="328" s="1"/>
  <c r="L15" i="328" s="1"/>
  <c r="L16" i="328" s="1"/>
  <c r="L17" i="328" s="1"/>
  <c r="L18" i="328" s="1"/>
  <c r="L19" i="328" s="1"/>
  <c r="L20" i="328" s="1"/>
  <c r="L21" i="328" s="1"/>
  <c r="L22" i="328" s="1"/>
  <c r="L23" i="328" s="1"/>
  <c r="L24" i="328" s="1"/>
  <c r="L25" i="328" s="1"/>
  <c r="L26" i="328" s="1"/>
  <c r="L27" i="328" s="1"/>
  <c r="L28" i="328" s="1"/>
  <c r="L29" i="328" s="1"/>
  <c r="L30" i="328" s="1"/>
  <c r="L31" i="328" s="1"/>
  <c r="L32" i="328" s="1"/>
  <c r="L33" i="328" s="1"/>
  <c r="L34" i="328" s="1"/>
  <c r="L35" i="328" s="1"/>
  <c r="L36" i="328" s="1"/>
  <c r="L37" i="328" s="1"/>
  <c r="L38" i="328" s="1"/>
  <c r="L39" i="328" s="1"/>
  <c r="L40" i="328" s="1"/>
  <c r="L41" i="328" s="1"/>
  <c r="L42" i="328" s="1"/>
  <c r="L43" i="328" s="1"/>
  <c r="L44" i="328" s="1"/>
  <c r="L45" i="328" s="1"/>
  <c r="L46" i="328" s="1"/>
  <c r="L47" i="328" s="1"/>
  <c r="L48" i="328" s="1"/>
  <c r="L49" i="328" s="1"/>
  <c r="L50" i="328" s="1"/>
  <c r="L51" i="328" s="1"/>
  <c r="L52" i="328" s="1"/>
  <c r="L53" i="328" s="1"/>
  <c r="L54" i="328" s="1"/>
  <c r="L55" i="328" s="1"/>
  <c r="L56" i="328" s="1"/>
  <c r="L57" i="328" s="1"/>
  <c r="L58" i="328" s="1"/>
  <c r="L59" i="328" s="1"/>
  <c r="L60" i="328" s="1"/>
  <c r="L61" i="328" s="1"/>
  <c r="L62" i="328" s="1"/>
  <c r="L63" i="328" s="1"/>
  <c r="L64" i="328" s="1"/>
  <c r="L65" i="328" s="1"/>
  <c r="L66" i="328" s="1"/>
  <c r="L67" i="328" s="1"/>
  <c r="L68" i="328" s="1"/>
  <c r="L69" i="328" s="1"/>
  <c r="L70" i="328" s="1"/>
  <c r="L71" i="328" s="1"/>
  <c r="L72" i="328" s="1"/>
  <c r="L73" i="328" s="1"/>
  <c r="L74" i="328" s="1"/>
  <c r="L75" i="328" s="1"/>
  <c r="L76" i="328" s="1"/>
  <c r="L77" i="328" s="1"/>
  <c r="L78" i="328" s="1"/>
  <c r="L79" i="328" s="1"/>
  <c r="L80" i="328" s="1"/>
  <c r="L81" i="328" s="1"/>
  <c r="L82" i="328" s="1"/>
  <c r="L83" i="328" s="1"/>
  <c r="L84" i="328" s="1"/>
  <c r="L85" i="328" s="1"/>
  <c r="L86" i="328" s="1"/>
  <c r="L87" i="328" s="1"/>
  <c r="L88" i="328" s="1"/>
  <c r="L89" i="328" s="1"/>
  <c r="L90" i="328" s="1"/>
  <c r="L91" i="328" s="1"/>
  <c r="L92" i="328" s="1"/>
  <c r="L93" i="328" s="1"/>
  <c r="L94" i="328" s="1"/>
  <c r="L95" i="328" s="1"/>
  <c r="L96" i="328" s="1"/>
  <c r="L97" i="328" s="1"/>
  <c r="L98" i="328" s="1"/>
  <c r="L99" i="328" s="1"/>
  <c r="L100" i="328" s="1"/>
  <c r="L101" i="328" s="1"/>
  <c r="L102" i="328" s="1"/>
  <c r="L103" i="328" s="1"/>
  <c r="L105" i="328" s="1"/>
  <c r="AG4" i="328"/>
  <c r="AE4" i="327"/>
  <c r="AF4" i="327" s="1"/>
  <c r="AF5" i="327" s="1"/>
  <c r="AB5" i="327"/>
  <c r="AE5" i="327" s="1"/>
  <c r="Z58" i="327"/>
  <c r="AD58" i="327" s="1"/>
  <c r="AF80" i="327"/>
  <c r="W5" i="327"/>
  <c r="X4" i="327"/>
  <c r="AB79" i="327"/>
  <c r="AD79" i="327" s="1"/>
  <c r="AK76" i="327" s="1"/>
  <c r="AL76" i="327" s="1"/>
  <c r="AD59" i="327"/>
  <c r="S17" i="325"/>
  <c r="T17" i="325"/>
  <c r="AT9" i="325"/>
  <c r="AU9" i="325" s="1"/>
  <c r="V64" i="325"/>
  <c r="V71" i="325"/>
  <c r="AT11" i="325"/>
  <c r="AU11" i="325" s="1"/>
  <c r="S13" i="325"/>
  <c r="V13" i="325" s="1"/>
  <c r="S12" i="325"/>
  <c r="V12" i="325" s="1"/>
  <c r="AT8" i="325"/>
  <c r="AU8" i="325" s="1"/>
  <c r="K129" i="325"/>
  <c r="K137" i="325"/>
  <c r="K150" i="325" s="1"/>
  <c r="I150" i="325"/>
  <c r="AT16" i="325"/>
  <c r="AU16" i="325" s="1"/>
  <c r="V81" i="325"/>
  <c r="K128" i="325"/>
  <c r="K130" i="325"/>
  <c r="I142" i="325"/>
  <c r="V97" i="325"/>
  <c r="V73" i="325"/>
  <c r="N56" i="325"/>
  <c r="O60" i="325" s="1"/>
  <c r="V85" i="325"/>
  <c r="V96" i="325"/>
  <c r="I147" i="325"/>
  <c r="AC45" i="325"/>
  <c r="V70" i="325"/>
  <c r="AH12" i="325"/>
  <c r="AT18" i="325"/>
  <c r="AU18" i="325" s="1"/>
  <c r="J141" i="325"/>
  <c r="V63" i="325"/>
  <c r="V52" i="325"/>
  <c r="V91" i="325"/>
  <c r="J150" i="325"/>
  <c r="V23" i="325"/>
  <c r="N50" i="325"/>
  <c r="V54" i="325"/>
  <c r="V62" i="325"/>
  <c r="V84" i="325"/>
  <c r="X84" i="325" s="1"/>
  <c r="V90" i="325"/>
  <c r="V101" i="325"/>
  <c r="K134" i="325"/>
  <c r="AC35" i="325"/>
  <c r="AE35" i="325" s="1"/>
  <c r="AT6" i="325"/>
  <c r="AU6" i="325" s="1"/>
  <c r="V42" i="325"/>
  <c r="AT4" i="325"/>
  <c r="AU4" i="325" s="1"/>
  <c r="AT13" i="325"/>
  <c r="AU13" i="325" s="1"/>
  <c r="V45" i="325"/>
  <c r="V46" i="325"/>
  <c r="V59" i="325"/>
  <c r="V83" i="325"/>
  <c r="J148" i="325"/>
  <c r="K133" i="325"/>
  <c r="V34" i="325"/>
  <c r="V35" i="325"/>
  <c r="V57" i="325"/>
  <c r="V75" i="325"/>
  <c r="V87" i="325"/>
  <c r="V89" i="325"/>
  <c r="V94" i="325"/>
  <c r="J116" i="325"/>
  <c r="J142" i="325" s="1"/>
  <c r="Z16" i="325"/>
  <c r="AA16" i="325" s="1"/>
  <c r="AD36" i="325"/>
  <c r="AD37" i="325" s="1"/>
  <c r="V40" i="325"/>
  <c r="V41" i="325"/>
  <c r="V43" i="325"/>
  <c r="AC44" i="325"/>
  <c r="V48" i="325"/>
  <c r="V51" i="325"/>
  <c r="V56" i="325"/>
  <c r="AI59" i="325"/>
  <c r="V65" i="325"/>
  <c r="V66" i="325"/>
  <c r="V67" i="325"/>
  <c r="V69" i="325"/>
  <c r="V79" i="325"/>
  <c r="V92" i="325"/>
  <c r="V98" i="325"/>
  <c r="V100" i="325"/>
  <c r="I143" i="325"/>
  <c r="K135" i="325"/>
  <c r="AB62" i="325"/>
  <c r="V16" i="325"/>
  <c r="V78" i="325"/>
  <c r="AT22" i="325"/>
  <c r="AU22" i="325" s="1"/>
  <c r="AT12" i="325"/>
  <c r="AU12" i="325" s="1"/>
  <c r="V30" i="325"/>
  <c r="V32" i="325"/>
  <c r="V36" i="325"/>
  <c r="V37" i="325"/>
  <c r="V39" i="325"/>
  <c r="V47" i="325"/>
  <c r="V55" i="325"/>
  <c r="V72" i="325"/>
  <c r="V74" i="325"/>
  <c r="V77" i="325"/>
  <c r="V80" i="325"/>
  <c r="V86" i="325"/>
  <c r="V88" i="325"/>
  <c r="V102" i="325"/>
  <c r="J108" i="325"/>
  <c r="T22" i="325"/>
  <c r="V22" i="325" s="1"/>
  <c r="V18" i="325"/>
  <c r="V11" i="325"/>
  <c r="V27" i="325"/>
  <c r="V28" i="325"/>
  <c r="Q105" i="325"/>
  <c r="V3" i="325"/>
  <c r="V15" i="325"/>
  <c r="AC43" i="325"/>
  <c r="S2" i="325"/>
  <c r="V2" i="325" s="1"/>
  <c r="V26" i="325"/>
  <c r="V29" i="325"/>
  <c r="T9" i="325"/>
  <c r="V9" i="325" s="1"/>
  <c r="V8" i="325"/>
  <c r="V20" i="325"/>
  <c r="V24" i="325"/>
  <c r="V25" i="325"/>
  <c r="O95" i="326"/>
  <c r="AA68" i="326"/>
  <c r="O99" i="326"/>
  <c r="O96" i="326"/>
  <c r="O94" i="326"/>
  <c r="K141" i="326"/>
  <c r="O101" i="326"/>
  <c r="O98" i="326"/>
  <c r="O103" i="326"/>
  <c r="O97" i="326"/>
  <c r="T105" i="326"/>
  <c r="T107" i="326" s="1"/>
  <c r="O35" i="326"/>
  <c r="O44" i="326"/>
  <c r="O38" i="326"/>
  <c r="O49" i="326"/>
  <c r="O47" i="326"/>
  <c r="O53" i="326"/>
  <c r="O54" i="326"/>
  <c r="K121" i="326"/>
  <c r="K147" i="326" s="1"/>
  <c r="O50" i="326"/>
  <c r="O31" i="326"/>
  <c r="O41" i="326"/>
  <c r="O36" i="326"/>
  <c r="K148" i="326"/>
  <c r="K116" i="326"/>
  <c r="K142" i="326" s="1"/>
  <c r="O32" i="326"/>
  <c r="J143" i="326"/>
  <c r="K117" i="326"/>
  <c r="K143" i="326" s="1"/>
  <c r="J144" i="326"/>
  <c r="K118" i="326"/>
  <c r="K144" i="326" s="1"/>
  <c r="S105" i="326"/>
  <c r="V2" i="326"/>
  <c r="V105" i="326" s="1"/>
  <c r="O92" i="326"/>
  <c r="O87" i="326"/>
  <c r="O86" i="326"/>
  <c r="O78" i="326"/>
  <c r="O75" i="326"/>
  <c r="O71" i="326"/>
  <c r="O79" i="326"/>
  <c r="O74" i="326"/>
  <c r="O73" i="326"/>
  <c r="O64" i="326"/>
  <c r="O77" i="326"/>
  <c r="O66" i="326"/>
  <c r="O62" i="326"/>
  <c r="O59" i="326"/>
  <c r="AD36" i="326"/>
  <c r="AE36" i="326" s="1"/>
  <c r="AD35" i="326"/>
  <c r="O93" i="326"/>
  <c r="O76" i="326"/>
  <c r="O88" i="326"/>
  <c r="O58" i="326"/>
  <c r="O70" i="326"/>
  <c r="O90" i="326"/>
  <c r="AE34" i="326"/>
  <c r="AT10" i="326"/>
  <c r="AU10" i="326" s="1"/>
  <c r="O69" i="326"/>
  <c r="O89" i="326"/>
  <c r="O63" i="326"/>
  <c r="I146" i="326"/>
  <c r="I152" i="326" s="1"/>
  <c r="J120" i="326"/>
  <c r="J146" i="326" s="1"/>
  <c r="O83" i="326"/>
  <c r="O84" i="326"/>
  <c r="O65" i="326"/>
  <c r="Z14" i="326"/>
  <c r="AA10" i="326"/>
  <c r="AA35" i="326"/>
  <c r="Z60" i="326"/>
  <c r="AF10" i="326"/>
  <c r="AD28" i="326"/>
  <c r="O72" i="326"/>
  <c r="O30" i="326"/>
  <c r="O43" i="326"/>
  <c r="O42" i="326"/>
  <c r="O39" i="326"/>
  <c r="O34" i="326"/>
  <c r="O46" i="326"/>
  <c r="O45" i="326"/>
  <c r="O57" i="326"/>
  <c r="K105" i="326"/>
  <c r="O67" i="326"/>
  <c r="O91" i="326"/>
  <c r="O85" i="326"/>
  <c r="O68" i="326"/>
  <c r="O80" i="326"/>
  <c r="O81" i="326"/>
  <c r="O56" i="326"/>
  <c r="O33" i="326"/>
  <c r="N2" i="326"/>
  <c r="O61" i="326"/>
  <c r="AC37" i="326"/>
  <c r="O37" i="326"/>
  <c r="Z14" i="325"/>
  <c r="AA3" i="325" s="1"/>
  <c r="AT17" i="325"/>
  <c r="AU17" i="325" s="1"/>
  <c r="AT7" i="325"/>
  <c r="AU7" i="325" s="1"/>
  <c r="AE26" i="325"/>
  <c r="AE27" i="325" s="1"/>
  <c r="AD26" i="325"/>
  <c r="AD27" i="325" s="1"/>
  <c r="AT15" i="325"/>
  <c r="AU15" i="325" s="1"/>
  <c r="V4" i="325"/>
  <c r="V6" i="325"/>
  <c r="I115" i="325"/>
  <c r="H105" i="325"/>
  <c r="AA42" i="325"/>
  <c r="K7" i="325"/>
  <c r="K105" i="325" s="1"/>
  <c r="S7" i="325"/>
  <c r="N85" i="325"/>
  <c r="O85" i="325" s="1"/>
  <c r="J119" i="325"/>
  <c r="J145" i="325" s="1"/>
  <c r="I145" i="325"/>
  <c r="V5" i="325"/>
  <c r="I105" i="325"/>
  <c r="I120" i="325"/>
  <c r="AB42" i="325"/>
  <c r="T7" i="325"/>
  <c r="AT19" i="325"/>
  <c r="AU19" i="325" s="1"/>
  <c r="N27" i="325"/>
  <c r="O45" i="325" s="1"/>
  <c r="K123" i="325"/>
  <c r="K149" i="325" s="1"/>
  <c r="I149" i="325"/>
  <c r="I151" i="325"/>
  <c r="K151" i="325" s="1"/>
  <c r="K125" i="325"/>
  <c r="J168" i="325"/>
  <c r="K168" i="325" s="1"/>
  <c r="J167" i="325"/>
  <c r="K167" i="325" s="1"/>
  <c r="T10" i="325"/>
  <c r="V10" i="325" s="1"/>
  <c r="V14" i="325"/>
  <c r="V21" i="325"/>
  <c r="AT14" i="325"/>
  <c r="AU14" i="325" s="1"/>
  <c r="V33" i="325"/>
  <c r="AE34" i="325"/>
  <c r="AC36" i="325"/>
  <c r="Z37" i="325"/>
  <c r="V38" i="325"/>
  <c r="V44" i="325"/>
  <c r="V49" i="325"/>
  <c r="V50" i="325"/>
  <c r="V53" i="325"/>
  <c r="V58" i="325"/>
  <c r="V60" i="325"/>
  <c r="V61" i="325"/>
  <c r="I144" i="325"/>
  <c r="J118" i="325"/>
  <c r="J144" i="325" s="1"/>
  <c r="K132" i="325"/>
  <c r="N81" i="325"/>
  <c r="U105" i="325"/>
  <c r="AD4" i="325" s="1"/>
  <c r="AC61" i="325"/>
  <c r="AA68" i="325" s="1"/>
  <c r="AC58" i="325"/>
  <c r="V19" i="325"/>
  <c r="V31" i="325"/>
  <c r="AC78" i="325"/>
  <c r="AN74" i="325"/>
  <c r="AO73" i="325"/>
  <c r="V68" i="325"/>
  <c r="V76" i="325"/>
  <c r="V82" i="325"/>
  <c r="V93" i="325"/>
  <c r="N94" i="325"/>
  <c r="V95" i="325"/>
  <c r="V99" i="325"/>
  <c r="V103" i="325"/>
  <c r="I148" i="325"/>
  <c r="K122" i="325"/>
  <c r="AB61" i="325"/>
  <c r="AA81" i="325"/>
  <c r="AA86" i="325" s="1"/>
  <c r="AB86" i="325" s="1"/>
  <c r="AC86" i="325" s="1"/>
  <c r="AD86" i="325" s="1"/>
  <c r="AD87" i="325" s="1"/>
  <c r="AD88" i="325" s="1"/>
  <c r="AI79" i="325"/>
  <c r="J109" i="325"/>
  <c r="J117" i="325"/>
  <c r="J121" i="325"/>
  <c r="R158" i="325"/>
  <c r="T158" i="325" s="1"/>
  <c r="R159" i="325"/>
  <c r="T159" i="325" s="1"/>
  <c r="I7" i="323"/>
  <c r="H7" i="323"/>
  <c r="Z9" i="323"/>
  <c r="W12" i="333" l="1"/>
  <c r="X11" i="333"/>
  <c r="X8" i="332"/>
  <c r="W9" i="332"/>
  <c r="X8" i="331"/>
  <c r="W9" i="331"/>
  <c r="AD81" i="330"/>
  <c r="AF80" i="330"/>
  <c r="AF81" i="330" s="1"/>
  <c r="AK78" i="330"/>
  <c r="AL79" i="330" s="1"/>
  <c r="AL75" i="330"/>
  <c r="AL78" i="330" s="1"/>
  <c r="W7" i="330"/>
  <c r="X6" i="330"/>
  <c r="AE81" i="329"/>
  <c r="AF81" i="329"/>
  <c r="X5" i="329"/>
  <c r="W6" i="329"/>
  <c r="AK78" i="329"/>
  <c r="AL79" i="329" s="1"/>
  <c r="AL75" i="329"/>
  <c r="AL78" i="329" s="1"/>
  <c r="AE5" i="328"/>
  <c r="AE70" i="328"/>
  <c r="Z70" i="328"/>
  <c r="AB17" i="328"/>
  <c r="X2" i="328"/>
  <c r="AD78" i="328"/>
  <c r="AB81" i="328"/>
  <c r="AG5" i="328"/>
  <c r="X3" i="328"/>
  <c r="W4" i="328"/>
  <c r="AE79" i="328"/>
  <c r="AF79" i="328" s="1"/>
  <c r="AJ59" i="328"/>
  <c r="Z5" i="328"/>
  <c r="AD61" i="328"/>
  <c r="AD62" i="328"/>
  <c r="AE78" i="328"/>
  <c r="AN75" i="328"/>
  <c r="AN76" i="328" s="1"/>
  <c r="AF5" i="328"/>
  <c r="Z62" i="327"/>
  <c r="Z61" i="327"/>
  <c r="Z70" i="327" s="1"/>
  <c r="AB78" i="327"/>
  <c r="AD78" i="327" s="1"/>
  <c r="AD62" i="327"/>
  <c r="AE78" i="327"/>
  <c r="AN75" i="327"/>
  <c r="AN76" i="327" s="1"/>
  <c r="AD61" i="327"/>
  <c r="AE79" i="327"/>
  <c r="AF79" i="327" s="1"/>
  <c r="AJ59" i="327"/>
  <c r="X5" i="327"/>
  <c r="W6" i="327"/>
  <c r="V17" i="325"/>
  <c r="O64" i="325"/>
  <c r="J111" i="325"/>
  <c r="O93" i="325"/>
  <c r="O73" i="325"/>
  <c r="O61" i="325"/>
  <c r="O74" i="325"/>
  <c r="AA69" i="325"/>
  <c r="O79" i="325"/>
  <c r="O80" i="325"/>
  <c r="O63" i="325"/>
  <c r="O65" i="325"/>
  <c r="O58" i="325"/>
  <c r="O68" i="325"/>
  <c r="O75" i="325"/>
  <c r="O59" i="325"/>
  <c r="O67" i="325"/>
  <c r="O78" i="325"/>
  <c r="O76" i="325"/>
  <c r="O71" i="325"/>
  <c r="O66" i="325"/>
  <c r="K148" i="325"/>
  <c r="O62" i="325"/>
  <c r="O77" i="325"/>
  <c r="O72" i="325"/>
  <c r="O69" i="325"/>
  <c r="O57" i="325"/>
  <c r="O70" i="325"/>
  <c r="S105" i="325"/>
  <c r="O88" i="325"/>
  <c r="O30" i="325"/>
  <c r="O39" i="325"/>
  <c r="K116" i="325"/>
  <c r="K142" i="325" s="1"/>
  <c r="O54" i="325"/>
  <c r="AC42" i="325"/>
  <c r="T105" i="325"/>
  <c r="Z18" i="325"/>
  <c r="Z24" i="325" s="1"/>
  <c r="W2" i="325" s="1"/>
  <c r="AA4" i="325"/>
  <c r="L2" i="325" s="1"/>
  <c r="L3" i="325" s="1"/>
  <c r="L4" i="325" s="1"/>
  <c r="L5" i="325" s="1"/>
  <c r="L6" i="325" s="1"/>
  <c r="L7" i="325" s="1"/>
  <c r="L8" i="325" s="1"/>
  <c r="L9" i="325" s="1"/>
  <c r="L10" i="325" s="1"/>
  <c r="L11" i="325" s="1"/>
  <c r="L12" i="325" s="1"/>
  <c r="L13" i="325" s="1"/>
  <c r="L14" i="325" s="1"/>
  <c r="L15" i="325" s="1"/>
  <c r="L16" i="325" s="1"/>
  <c r="L17" i="325" s="1"/>
  <c r="L18" i="325" s="1"/>
  <c r="L19" i="325" s="1"/>
  <c r="L20" i="325" s="1"/>
  <c r="L21" i="325" s="1"/>
  <c r="L22" i="325" s="1"/>
  <c r="L23" i="325" s="1"/>
  <c r="L24" i="325" s="1"/>
  <c r="L25" i="325" s="1"/>
  <c r="L26" i="325" s="1"/>
  <c r="L27" i="325" s="1"/>
  <c r="L28" i="325" s="1"/>
  <c r="L29" i="325" s="1"/>
  <c r="L30" i="325" s="1"/>
  <c r="L31" i="325" s="1"/>
  <c r="L32" i="325" s="1"/>
  <c r="L33" i="325" s="1"/>
  <c r="L34" i="325" s="1"/>
  <c r="L35" i="325" s="1"/>
  <c r="L36" i="325" s="1"/>
  <c r="L37" i="325" s="1"/>
  <c r="L38" i="325" s="1"/>
  <c r="L39" i="325" s="1"/>
  <c r="L40" i="325" s="1"/>
  <c r="L41" i="325" s="1"/>
  <c r="L42" i="325" s="1"/>
  <c r="L43" i="325" s="1"/>
  <c r="L44" i="325" s="1"/>
  <c r="L45" i="325" s="1"/>
  <c r="L46" i="325" s="1"/>
  <c r="L47" i="325" s="1"/>
  <c r="L48" i="325" s="1"/>
  <c r="L49" i="325" s="1"/>
  <c r="L50" i="325" s="1"/>
  <c r="L51" i="325" s="1"/>
  <c r="L52" i="325" s="1"/>
  <c r="L53" i="325" s="1"/>
  <c r="L54" i="325" s="1"/>
  <c r="L55" i="325" s="1"/>
  <c r="L56" i="325" s="1"/>
  <c r="L57" i="325" s="1"/>
  <c r="L58" i="325" s="1"/>
  <c r="L59" i="325" s="1"/>
  <c r="L60" i="325" s="1"/>
  <c r="L61" i="325" s="1"/>
  <c r="L62" i="325" s="1"/>
  <c r="L63" i="325" s="1"/>
  <c r="L64" i="325" s="1"/>
  <c r="L65" i="325" s="1"/>
  <c r="L66" i="325" s="1"/>
  <c r="L67" i="325" s="1"/>
  <c r="L68" i="325" s="1"/>
  <c r="L69" i="325" s="1"/>
  <c r="L70" i="325" s="1"/>
  <c r="L71" i="325" s="1"/>
  <c r="L72" i="325" s="1"/>
  <c r="L73" i="325" s="1"/>
  <c r="L74" i="325" s="1"/>
  <c r="L75" i="325" s="1"/>
  <c r="L76" i="325" s="1"/>
  <c r="L77" i="325" s="1"/>
  <c r="L78" i="325" s="1"/>
  <c r="L79" i="325" s="1"/>
  <c r="L80" i="325" s="1"/>
  <c r="L81" i="325" s="1"/>
  <c r="L82" i="325" s="1"/>
  <c r="L83" i="325" s="1"/>
  <c r="L84" i="325" s="1"/>
  <c r="L85" i="325" s="1"/>
  <c r="L86" i="325" s="1"/>
  <c r="L87" i="325" s="1"/>
  <c r="L88" i="325" s="1"/>
  <c r="L89" i="325" s="1"/>
  <c r="L90" i="325" s="1"/>
  <c r="L91" i="325" s="1"/>
  <c r="L92" i="325" s="1"/>
  <c r="L93" i="325" s="1"/>
  <c r="L94" i="325" s="1"/>
  <c r="L95" i="325" s="1"/>
  <c r="L96" i="325" s="1"/>
  <c r="L97" i="325" s="1"/>
  <c r="L98" i="325" s="1"/>
  <c r="L99" i="325" s="1"/>
  <c r="L100" i="325" s="1"/>
  <c r="L101" i="325" s="1"/>
  <c r="L102" i="325" s="1"/>
  <c r="L103" i="325" s="1"/>
  <c r="L105" i="325" s="1"/>
  <c r="Z58" i="326"/>
  <c r="J152" i="326"/>
  <c r="AD37" i="326"/>
  <c r="N105" i="326"/>
  <c r="O24" i="326"/>
  <c r="O15" i="326"/>
  <c r="O10" i="326"/>
  <c r="O20" i="326"/>
  <c r="O8" i="326"/>
  <c r="O4" i="326"/>
  <c r="O2" i="326"/>
  <c r="O27" i="326"/>
  <c r="O25" i="326"/>
  <c r="O22" i="326"/>
  <c r="O9" i="326"/>
  <c r="O3" i="326"/>
  <c r="O19" i="326"/>
  <c r="O11" i="326"/>
  <c r="O28" i="326"/>
  <c r="O5" i="326"/>
  <c r="O26" i="326"/>
  <c r="O13" i="326"/>
  <c r="O12" i="326"/>
  <c r="O6" i="326"/>
  <c r="O17" i="326"/>
  <c r="O16" i="326"/>
  <c r="O14" i="326"/>
  <c r="O29" i="326"/>
  <c r="AB35" i="326"/>
  <c r="O7" i="326"/>
  <c r="S107" i="326"/>
  <c r="AE35" i="326"/>
  <c r="AE37" i="326" s="1"/>
  <c r="Z18" i="326"/>
  <c r="Z24" i="326" s="1"/>
  <c r="W2" i="326" s="1"/>
  <c r="Z13" i="326"/>
  <c r="AA3" i="326"/>
  <c r="AA4" i="326"/>
  <c r="AB5" i="326"/>
  <c r="Z53" i="326"/>
  <c r="AB80" i="326"/>
  <c r="K120" i="326"/>
  <c r="K146" i="326" s="1"/>
  <c r="K152" i="326" s="1"/>
  <c r="Z13" i="325"/>
  <c r="Z4" i="325" s="1"/>
  <c r="K117" i="325"/>
  <c r="K143" i="325" s="1"/>
  <c r="J143" i="325"/>
  <c r="O81" i="325"/>
  <c r="O84" i="325"/>
  <c r="O83" i="325"/>
  <c r="O82" i="325"/>
  <c r="K118" i="325"/>
  <c r="K144" i="325" s="1"/>
  <c r="K119" i="325"/>
  <c r="K145" i="325" s="1"/>
  <c r="J120" i="325"/>
  <c r="J146" i="325" s="1"/>
  <c r="I146" i="325"/>
  <c r="AT10" i="325"/>
  <c r="AU10" i="325" s="1"/>
  <c r="N2" i="325"/>
  <c r="O7" i="325" s="1"/>
  <c r="AA60" i="325"/>
  <c r="AA36" i="325"/>
  <c r="AB36" i="325" s="1"/>
  <c r="AE3" i="325"/>
  <c r="AF3" i="325" s="1"/>
  <c r="AF11" i="325"/>
  <c r="AD5" i="325"/>
  <c r="AA34" i="325" s="1"/>
  <c r="AB34" i="325" s="1"/>
  <c r="O86" i="325"/>
  <c r="O92" i="325"/>
  <c r="O87" i="325"/>
  <c r="O89" i="325"/>
  <c r="K121" i="325"/>
  <c r="K147" i="325" s="1"/>
  <c r="J147" i="325"/>
  <c r="O90" i="325"/>
  <c r="O100" i="325"/>
  <c r="O96" i="325"/>
  <c r="O101" i="325"/>
  <c r="O97" i="325"/>
  <c r="O103" i="325"/>
  <c r="O99" i="325"/>
  <c r="O95" i="325"/>
  <c r="O98" i="325"/>
  <c r="O102" i="325"/>
  <c r="O94" i="325"/>
  <c r="AD28" i="325"/>
  <c r="Z60" i="325"/>
  <c r="AF10" i="325"/>
  <c r="AA35" i="325"/>
  <c r="AE36" i="325"/>
  <c r="AE37" i="325" s="1"/>
  <c r="AC37" i="325"/>
  <c r="O56" i="325"/>
  <c r="O50" i="325"/>
  <c r="O55" i="325"/>
  <c r="O53" i="325"/>
  <c r="O43" i="325"/>
  <c r="O41" i="325"/>
  <c r="O36" i="325"/>
  <c r="O33" i="325"/>
  <c r="O47" i="325"/>
  <c r="O44" i="325"/>
  <c r="O38" i="325"/>
  <c r="O35" i="325"/>
  <c r="O46" i="325"/>
  <c r="O32" i="325"/>
  <c r="O49" i="325"/>
  <c r="O37" i="325"/>
  <c r="O31" i="325"/>
  <c r="AG3" i="325"/>
  <c r="O42" i="325"/>
  <c r="O91" i="325"/>
  <c r="V7" i="325"/>
  <c r="I141" i="325"/>
  <c r="K115" i="325"/>
  <c r="K141" i="325" s="1"/>
  <c r="O34" i="325"/>
  <c r="I111" i="322"/>
  <c r="J108" i="322" s="1"/>
  <c r="I7" i="322"/>
  <c r="H7" i="322"/>
  <c r="Z9" i="322"/>
  <c r="W13" i="333" l="1"/>
  <c r="X12" i="333"/>
  <c r="X9" i="332"/>
  <c r="W10" i="332"/>
  <c r="X9" i="331"/>
  <c r="W10" i="331"/>
  <c r="X7" i="330"/>
  <c r="W8" i="330"/>
  <c r="W7" i="329"/>
  <c r="X6" i="329"/>
  <c r="X4" i="328"/>
  <c r="W5" i="328"/>
  <c r="AE81" i="328"/>
  <c r="AF78" i="328"/>
  <c r="AF81" i="328" s="1"/>
  <c r="AD81" i="328"/>
  <c r="AK75" i="328"/>
  <c r="AB81" i="327"/>
  <c r="AB17" i="327"/>
  <c r="AE70" i="327"/>
  <c r="AK75" i="327"/>
  <c r="AD81" i="327"/>
  <c r="W7" i="327"/>
  <c r="X6" i="327"/>
  <c r="AF78" i="327"/>
  <c r="AF81" i="327" s="1"/>
  <c r="AE81" i="327"/>
  <c r="AB4" i="325"/>
  <c r="T109" i="325"/>
  <c r="AC4" i="325"/>
  <c r="Z59" i="325" s="1"/>
  <c r="S109" i="325"/>
  <c r="V105" i="325"/>
  <c r="K120" i="325"/>
  <c r="K146" i="325" s="1"/>
  <c r="K152" i="325" s="1"/>
  <c r="AF9" i="325"/>
  <c r="AA5" i="325"/>
  <c r="J152" i="325"/>
  <c r="Z3" i="325"/>
  <c r="Z5" i="325" s="1"/>
  <c r="AE4" i="326"/>
  <c r="AF4" i="326" s="1"/>
  <c r="AB78" i="326"/>
  <c r="AD58" i="326"/>
  <c r="Z3" i="326"/>
  <c r="Z4" i="326"/>
  <c r="W3" i="326"/>
  <c r="AA5" i="326"/>
  <c r="AG4" i="326"/>
  <c r="L2" i="326"/>
  <c r="L3" i="326" s="1"/>
  <c r="L4" i="326" s="1"/>
  <c r="L5" i="326" s="1"/>
  <c r="L6" i="326" s="1"/>
  <c r="L7" i="326" s="1"/>
  <c r="L8" i="326" s="1"/>
  <c r="L9" i="326" s="1"/>
  <c r="L10" i="326" s="1"/>
  <c r="L11" i="326" s="1"/>
  <c r="L12" i="326" s="1"/>
  <c r="L13" i="326" s="1"/>
  <c r="L14" i="326" s="1"/>
  <c r="L15" i="326" s="1"/>
  <c r="L16" i="326" s="1"/>
  <c r="L17" i="326" s="1"/>
  <c r="L18" i="326" s="1"/>
  <c r="L19" i="326" s="1"/>
  <c r="L20" i="326" s="1"/>
  <c r="L21" i="326" s="1"/>
  <c r="L22" i="326" s="1"/>
  <c r="L23" i="326" s="1"/>
  <c r="L24" i="326" s="1"/>
  <c r="L25" i="326" s="1"/>
  <c r="L26" i="326" s="1"/>
  <c r="L27" i="326" s="1"/>
  <c r="L28" i="326" s="1"/>
  <c r="L29" i="326" s="1"/>
  <c r="L30" i="326" s="1"/>
  <c r="L31" i="326" s="1"/>
  <c r="L32" i="326" s="1"/>
  <c r="L33" i="326" s="1"/>
  <c r="L34" i="326" s="1"/>
  <c r="L35" i="326" s="1"/>
  <c r="L36" i="326" s="1"/>
  <c r="L37" i="326" s="1"/>
  <c r="L38" i="326" s="1"/>
  <c r="L39" i="326" s="1"/>
  <c r="L40" i="326" s="1"/>
  <c r="L41" i="326" s="1"/>
  <c r="L42" i="326" s="1"/>
  <c r="L43" i="326" s="1"/>
  <c r="L44" i="326" s="1"/>
  <c r="L45" i="326" s="1"/>
  <c r="L46" i="326" s="1"/>
  <c r="L47" i="326" s="1"/>
  <c r="L48" i="326" s="1"/>
  <c r="L49" i="326" s="1"/>
  <c r="L50" i="326" s="1"/>
  <c r="L51" i="326" s="1"/>
  <c r="L52" i="326" s="1"/>
  <c r="L53" i="326" s="1"/>
  <c r="L54" i="326" s="1"/>
  <c r="L55" i="326" s="1"/>
  <c r="L56" i="326" s="1"/>
  <c r="L57" i="326" s="1"/>
  <c r="L58" i="326" s="1"/>
  <c r="L59" i="326" s="1"/>
  <c r="L60" i="326" s="1"/>
  <c r="L61" i="326" s="1"/>
  <c r="L62" i="326" s="1"/>
  <c r="L63" i="326" s="1"/>
  <c r="L64" i="326" s="1"/>
  <c r="L65" i="326" s="1"/>
  <c r="L66" i="326" s="1"/>
  <c r="L67" i="326" s="1"/>
  <c r="L68" i="326" s="1"/>
  <c r="L69" i="326" s="1"/>
  <c r="L70" i="326" s="1"/>
  <c r="L71" i="326" s="1"/>
  <c r="L72" i="326" s="1"/>
  <c r="L73" i="326" s="1"/>
  <c r="L74" i="326" s="1"/>
  <c r="L75" i="326" s="1"/>
  <c r="L76" i="326" s="1"/>
  <c r="L77" i="326" s="1"/>
  <c r="L78" i="326" s="1"/>
  <c r="L79" i="326" s="1"/>
  <c r="L80" i="326" s="1"/>
  <c r="L81" i="326" s="1"/>
  <c r="L82" i="326" s="1"/>
  <c r="L83" i="326" s="1"/>
  <c r="L84" i="326" s="1"/>
  <c r="L85" i="326" s="1"/>
  <c r="L86" i="326" s="1"/>
  <c r="L87" i="326" s="1"/>
  <c r="L88" i="326" s="1"/>
  <c r="L89" i="326" s="1"/>
  <c r="L90" i="326" s="1"/>
  <c r="L91" i="326" s="1"/>
  <c r="L92" i="326" s="1"/>
  <c r="L93" i="326" s="1"/>
  <c r="L94" i="326" s="1"/>
  <c r="L95" i="326" s="1"/>
  <c r="L96" i="326" s="1"/>
  <c r="L97" i="326" s="1"/>
  <c r="L98" i="326" s="1"/>
  <c r="L99" i="326" s="1"/>
  <c r="L100" i="326" s="1"/>
  <c r="L101" i="326" s="1"/>
  <c r="L102" i="326" s="1"/>
  <c r="L103" i="326" s="1"/>
  <c r="L105" i="326" s="1"/>
  <c r="Z59" i="326"/>
  <c r="Z62" i="326" s="1"/>
  <c r="AC5" i="326"/>
  <c r="AD60" i="325"/>
  <c r="AE80" i="325" s="1"/>
  <c r="Z53" i="325"/>
  <c r="AB80" i="325"/>
  <c r="AC80" i="325"/>
  <c r="AC81" i="325" s="1"/>
  <c r="AB47" i="325"/>
  <c r="AA62" i="325"/>
  <c r="AA61" i="325"/>
  <c r="I152" i="325"/>
  <c r="AA37" i="325"/>
  <c r="AB37" i="325" s="1"/>
  <c r="AB35" i="325"/>
  <c r="N105" i="325"/>
  <c r="O28" i="325"/>
  <c r="O13" i="325"/>
  <c r="O26" i="325"/>
  <c r="O16" i="325"/>
  <c r="O14" i="325"/>
  <c r="O2" i="325"/>
  <c r="O29" i="325"/>
  <c r="O9" i="325"/>
  <c r="O4" i="325"/>
  <c r="O3" i="325"/>
  <c r="O19" i="325"/>
  <c r="O8" i="325"/>
  <c r="O17" i="325"/>
  <c r="O6" i="325"/>
  <c r="O10" i="325"/>
  <c r="O5" i="325"/>
  <c r="O15" i="325"/>
  <c r="O11" i="325"/>
  <c r="O20" i="325"/>
  <c r="O24" i="325"/>
  <c r="O25" i="325"/>
  <c r="O12" i="325"/>
  <c r="O27" i="325"/>
  <c r="O22" i="325"/>
  <c r="W3" i="325"/>
  <c r="X2" i="325"/>
  <c r="J109" i="322"/>
  <c r="J110" i="322"/>
  <c r="J111" i="322" s="1"/>
  <c r="AD3" i="321"/>
  <c r="W14" i="333" l="1"/>
  <c r="X13" i="333"/>
  <c r="W11" i="332"/>
  <c r="X10" i="332"/>
  <c r="X10" i="331"/>
  <c r="W11" i="331"/>
  <c r="W9" i="330"/>
  <c r="X8" i="330"/>
  <c r="W8" i="329"/>
  <c r="X7" i="329"/>
  <c r="AK78" i="328"/>
  <c r="AL79" i="328" s="1"/>
  <c r="AL75" i="328"/>
  <c r="AL78" i="328" s="1"/>
  <c r="W6" i="328"/>
  <c r="X5" i="328"/>
  <c r="AL75" i="327"/>
  <c r="AL78" i="327" s="1"/>
  <c r="AK78" i="327"/>
  <c r="AL79" i="327" s="1"/>
  <c r="W8" i="327"/>
  <c r="X7" i="327"/>
  <c r="AC5" i="325"/>
  <c r="AE4" i="325"/>
  <c r="AF4" i="325" s="1"/>
  <c r="AF5" i="325" s="1"/>
  <c r="Z58" i="325"/>
  <c r="AB78" i="325" s="1"/>
  <c r="AB5" i="325"/>
  <c r="AG4" i="325"/>
  <c r="AG5" i="325" s="1"/>
  <c r="AD78" i="326"/>
  <c r="AA60" i="326"/>
  <c r="AF11" i="326"/>
  <c r="AF9" i="326" s="1"/>
  <c r="AE3" i="326"/>
  <c r="AF3" i="326" s="1"/>
  <c r="AF5" i="326" s="1"/>
  <c r="AA36" i="326"/>
  <c r="AD5" i="326"/>
  <c r="AA34" i="326" s="1"/>
  <c r="AB34" i="326" s="1"/>
  <c r="X2" i="326"/>
  <c r="AN75" i="326"/>
  <c r="AN76" i="326" s="1"/>
  <c r="AD59" i="326"/>
  <c r="AB79" i="326"/>
  <c r="AD79" i="326" s="1"/>
  <c r="AK76" i="326" s="1"/>
  <c r="AL76" i="326" s="1"/>
  <c r="AG3" i="326"/>
  <c r="AG5" i="326" s="1"/>
  <c r="W4" i="326"/>
  <c r="X3" i="326"/>
  <c r="Z5" i="326"/>
  <c r="Z61" i="326"/>
  <c r="W4" i="325"/>
  <c r="X3" i="325"/>
  <c r="AB79" i="325"/>
  <c r="AD79" i="325" s="1"/>
  <c r="AK76" i="325" s="1"/>
  <c r="AL76" i="325" s="1"/>
  <c r="AD59" i="325"/>
  <c r="AD80" i="325"/>
  <c r="AK77" i="325" s="1"/>
  <c r="AL77" i="325" s="1"/>
  <c r="P170" i="323"/>
  <c r="I170" i="323"/>
  <c r="Q169" i="323"/>
  <c r="R169" i="323" s="1"/>
  <c r="Q168" i="323"/>
  <c r="R168" i="323" s="1"/>
  <c r="Q167" i="323"/>
  <c r="R167" i="323" s="1"/>
  <c r="Q162" i="323"/>
  <c r="I162" i="323"/>
  <c r="R160" i="323"/>
  <c r="T160" i="323" s="1"/>
  <c r="J160" i="323"/>
  <c r="L160" i="323" s="1"/>
  <c r="R159" i="323"/>
  <c r="T159" i="323" s="1"/>
  <c r="J159" i="323"/>
  <c r="L159" i="323" s="1"/>
  <c r="R158" i="323"/>
  <c r="T158" i="323" s="1"/>
  <c r="J158" i="323"/>
  <c r="L158" i="323" s="1"/>
  <c r="I149" i="323"/>
  <c r="J138" i="323"/>
  <c r="K138" i="323" s="1"/>
  <c r="I138" i="323"/>
  <c r="J137" i="323"/>
  <c r="I137" i="323"/>
  <c r="J136" i="323"/>
  <c r="I136" i="323"/>
  <c r="K136" i="323" s="1"/>
  <c r="J135" i="323"/>
  <c r="I135" i="323"/>
  <c r="J134" i="323"/>
  <c r="I134" i="323"/>
  <c r="J133" i="323"/>
  <c r="I133" i="323"/>
  <c r="J132" i="323"/>
  <c r="I132" i="323"/>
  <c r="K131" i="323"/>
  <c r="J131" i="323"/>
  <c r="I131" i="323"/>
  <c r="J130" i="323"/>
  <c r="I130" i="323"/>
  <c r="J129" i="323"/>
  <c r="I129" i="323"/>
  <c r="J128" i="323"/>
  <c r="I128" i="323"/>
  <c r="I125" i="323"/>
  <c r="I124" i="323"/>
  <c r="J123" i="323"/>
  <c r="J149" i="323" s="1"/>
  <c r="I123" i="323"/>
  <c r="J122" i="323"/>
  <c r="I122" i="323"/>
  <c r="I121" i="323"/>
  <c r="J121" i="323" s="1"/>
  <c r="I120" i="323"/>
  <c r="I119" i="323"/>
  <c r="I118" i="323"/>
  <c r="I117" i="323"/>
  <c r="J117" i="323" s="1"/>
  <c r="I116" i="323"/>
  <c r="AC115" i="323"/>
  <c r="J115" i="323"/>
  <c r="B115" i="323"/>
  <c r="I111" i="323"/>
  <c r="P106" i="323"/>
  <c r="R105" i="323"/>
  <c r="P105" i="323"/>
  <c r="M105" i="323"/>
  <c r="J105" i="323"/>
  <c r="B105" i="323"/>
  <c r="U103" i="323"/>
  <c r="T103" i="323"/>
  <c r="S103" i="323"/>
  <c r="Q103" i="323"/>
  <c r="K103" i="323"/>
  <c r="U102" i="323"/>
  <c r="T102" i="323"/>
  <c r="S102" i="323"/>
  <c r="Q102" i="323"/>
  <c r="K102" i="323"/>
  <c r="U101" i="323"/>
  <c r="T101" i="323"/>
  <c r="S101" i="323"/>
  <c r="Q101" i="323"/>
  <c r="K101" i="323"/>
  <c r="U100" i="323"/>
  <c r="T100" i="323"/>
  <c r="S100" i="323"/>
  <c r="Q100" i="323"/>
  <c r="K100" i="323"/>
  <c r="U99" i="323"/>
  <c r="T99" i="323"/>
  <c r="S99" i="323"/>
  <c r="Q99" i="323"/>
  <c r="K99" i="323"/>
  <c r="U98" i="323"/>
  <c r="T98" i="323"/>
  <c r="S98" i="323"/>
  <c r="Q98" i="323"/>
  <c r="K98" i="323"/>
  <c r="U97" i="323"/>
  <c r="T97" i="323"/>
  <c r="S97" i="323"/>
  <c r="Q97" i="323"/>
  <c r="K97" i="323"/>
  <c r="U96" i="323"/>
  <c r="T96" i="323"/>
  <c r="S96" i="323"/>
  <c r="Q96" i="323"/>
  <c r="K96" i="323"/>
  <c r="U95" i="323"/>
  <c r="T95" i="323"/>
  <c r="S95" i="323"/>
  <c r="Q95" i="323"/>
  <c r="K95" i="323"/>
  <c r="U94" i="323"/>
  <c r="T94" i="323"/>
  <c r="S94" i="323"/>
  <c r="Q94" i="323"/>
  <c r="K94" i="323"/>
  <c r="U93" i="323"/>
  <c r="T93" i="323"/>
  <c r="S93" i="323"/>
  <c r="Q93" i="323"/>
  <c r="K93" i="323"/>
  <c r="AA92" i="323"/>
  <c r="U92" i="323"/>
  <c r="T92" i="323"/>
  <c r="S92" i="323"/>
  <c r="Q92" i="323"/>
  <c r="K92" i="323"/>
  <c r="U91" i="323"/>
  <c r="T91" i="323"/>
  <c r="S91" i="323"/>
  <c r="Q91" i="323"/>
  <c r="K91" i="323"/>
  <c r="U90" i="323"/>
  <c r="T90" i="323"/>
  <c r="S90" i="323"/>
  <c r="Q90" i="323"/>
  <c r="K90" i="323"/>
  <c r="U89" i="323"/>
  <c r="T89" i="323"/>
  <c r="S89" i="323"/>
  <c r="Q89" i="323"/>
  <c r="K89" i="323"/>
  <c r="U88" i="323"/>
  <c r="T88" i="323"/>
  <c r="S88" i="323"/>
  <c r="Q88" i="323"/>
  <c r="K88" i="323"/>
  <c r="AE87" i="323"/>
  <c r="AA87" i="323"/>
  <c r="Y87" i="323"/>
  <c r="U87" i="323"/>
  <c r="T87" i="323"/>
  <c r="S87" i="323"/>
  <c r="Q87" i="323"/>
  <c r="K87" i="323"/>
  <c r="AF86" i="323"/>
  <c r="AG86" i="323" s="1"/>
  <c r="AH86" i="323" s="1"/>
  <c r="AH87" i="323" s="1"/>
  <c r="AH88" i="323" s="1"/>
  <c r="U86" i="323"/>
  <c r="T86" i="323"/>
  <c r="S86" i="323"/>
  <c r="Q86" i="323"/>
  <c r="K86" i="323"/>
  <c r="U85" i="323"/>
  <c r="T85" i="323"/>
  <c r="S85" i="323"/>
  <c r="Q85" i="323"/>
  <c r="K85" i="323"/>
  <c r="U84" i="323"/>
  <c r="T84" i="323"/>
  <c r="S84" i="323"/>
  <c r="Q84" i="323"/>
  <c r="K84" i="323"/>
  <c r="U83" i="323"/>
  <c r="T83" i="323"/>
  <c r="S83" i="323"/>
  <c r="Q83" i="323"/>
  <c r="K83" i="323"/>
  <c r="U82" i="323"/>
  <c r="T82" i="323"/>
  <c r="S82" i="323"/>
  <c r="Q82" i="323"/>
  <c r="K82" i="323"/>
  <c r="Z81" i="323"/>
  <c r="U81" i="323"/>
  <c r="T81" i="323"/>
  <c r="S81" i="323"/>
  <c r="Q81" i="323"/>
  <c r="K81" i="323"/>
  <c r="AI80" i="323"/>
  <c r="U80" i="323"/>
  <c r="T80" i="323"/>
  <c r="S80" i="323"/>
  <c r="Q80" i="323"/>
  <c r="K80" i="323"/>
  <c r="AI79" i="323"/>
  <c r="AA79" i="323"/>
  <c r="AA81" i="323" s="1"/>
  <c r="AA86" i="323" s="1"/>
  <c r="AB86" i="323" s="1"/>
  <c r="AC86" i="323" s="1"/>
  <c r="AD86" i="323" s="1"/>
  <c r="AD87" i="323" s="1"/>
  <c r="AD88" i="323" s="1"/>
  <c r="U79" i="323"/>
  <c r="T79" i="323"/>
  <c r="S79" i="323"/>
  <c r="Q79" i="323"/>
  <c r="K79" i="323"/>
  <c r="AI78" i="323"/>
  <c r="U78" i="323"/>
  <c r="T78" i="323"/>
  <c r="S78" i="323"/>
  <c r="Q78" i="323"/>
  <c r="K78" i="323"/>
  <c r="U77" i="323"/>
  <c r="T77" i="323"/>
  <c r="S77" i="323"/>
  <c r="Q77" i="323"/>
  <c r="K77" i="323"/>
  <c r="U76" i="323"/>
  <c r="T76" i="323"/>
  <c r="S76" i="323"/>
  <c r="Q76" i="323"/>
  <c r="K76" i="323"/>
  <c r="U75" i="323"/>
  <c r="T75" i="323"/>
  <c r="S75" i="323"/>
  <c r="Q75" i="323"/>
  <c r="K75" i="323"/>
  <c r="U74" i="323"/>
  <c r="T74" i="323"/>
  <c r="S74" i="323"/>
  <c r="Q74" i="323"/>
  <c r="K74" i="323"/>
  <c r="AP73" i="323"/>
  <c r="AQ73" i="323" s="1"/>
  <c r="AD73" i="323"/>
  <c r="AM72" i="323" s="1"/>
  <c r="AN73" i="323" s="1"/>
  <c r="Z73" i="323"/>
  <c r="U73" i="323"/>
  <c r="T73" i="323"/>
  <c r="S73" i="323"/>
  <c r="Q73" i="323"/>
  <c r="K73" i="323"/>
  <c r="Z72" i="323"/>
  <c r="U72" i="323"/>
  <c r="T72" i="323"/>
  <c r="S72" i="323"/>
  <c r="Q72" i="323"/>
  <c r="K72" i="323"/>
  <c r="U71" i="323"/>
  <c r="T71" i="323"/>
  <c r="S71" i="323"/>
  <c r="Q71" i="323"/>
  <c r="K71" i="323"/>
  <c r="U70" i="323"/>
  <c r="T70" i="323"/>
  <c r="S70" i="323"/>
  <c r="Q70" i="323"/>
  <c r="K70" i="323"/>
  <c r="U69" i="323"/>
  <c r="T69" i="323"/>
  <c r="S69" i="323"/>
  <c r="Q69" i="323"/>
  <c r="K69" i="323"/>
  <c r="U68" i="323"/>
  <c r="T68" i="323"/>
  <c r="S68" i="323"/>
  <c r="Q68" i="323"/>
  <c r="K68" i="323"/>
  <c r="AL67" i="323"/>
  <c r="AA67" i="323"/>
  <c r="U67" i="323"/>
  <c r="T67" i="323"/>
  <c r="S67" i="323"/>
  <c r="Q67" i="323"/>
  <c r="K67" i="323"/>
  <c r="AF66" i="323"/>
  <c r="U66" i="323"/>
  <c r="T66" i="323"/>
  <c r="S66" i="323"/>
  <c r="Q66" i="323"/>
  <c r="K66" i="323"/>
  <c r="AF65" i="323"/>
  <c r="U65" i="323"/>
  <c r="T65" i="323"/>
  <c r="S65" i="323"/>
  <c r="Q65" i="323"/>
  <c r="K65" i="323"/>
  <c r="AL64" i="323"/>
  <c r="U64" i="323"/>
  <c r="T64" i="323"/>
  <c r="S64" i="323"/>
  <c r="Q64" i="323"/>
  <c r="K64" i="323"/>
  <c r="U63" i="323"/>
  <c r="T63" i="323"/>
  <c r="S63" i="323"/>
  <c r="Q63" i="323"/>
  <c r="K63" i="323"/>
  <c r="AC62" i="323"/>
  <c r="U62" i="323"/>
  <c r="T62" i="323"/>
  <c r="S62" i="323"/>
  <c r="Q62" i="323"/>
  <c r="K62" i="323"/>
  <c r="U61" i="323"/>
  <c r="T61" i="323"/>
  <c r="S61" i="323"/>
  <c r="Q61" i="323"/>
  <c r="K61" i="323"/>
  <c r="AL60" i="323"/>
  <c r="U60" i="323"/>
  <c r="T60" i="323"/>
  <c r="S60" i="323"/>
  <c r="Q60" i="323"/>
  <c r="K60" i="323"/>
  <c r="AH59" i="323"/>
  <c r="AE59" i="323"/>
  <c r="AG59" i="323" s="1"/>
  <c r="AB59" i="323"/>
  <c r="AA59" i="323"/>
  <c r="AC79" i="323" s="1"/>
  <c r="U59" i="323"/>
  <c r="T59" i="323"/>
  <c r="S59" i="323"/>
  <c r="Q59" i="323"/>
  <c r="K59" i="323"/>
  <c r="AB58" i="323"/>
  <c r="AA58" i="323"/>
  <c r="AC78" i="323" s="1"/>
  <c r="U58" i="323"/>
  <c r="T58" i="323"/>
  <c r="S58" i="323"/>
  <c r="Q58" i="323"/>
  <c r="K58" i="323"/>
  <c r="U57" i="323"/>
  <c r="T57" i="323"/>
  <c r="S57" i="323"/>
  <c r="Q57" i="323"/>
  <c r="K57" i="323"/>
  <c r="U56" i="323"/>
  <c r="T56" i="323"/>
  <c r="S56" i="323"/>
  <c r="Q56" i="323"/>
  <c r="K56" i="323"/>
  <c r="AL55" i="323"/>
  <c r="Y55" i="323"/>
  <c r="U55" i="323"/>
  <c r="S55" i="323"/>
  <c r="Q55" i="323"/>
  <c r="T55" i="323" s="1"/>
  <c r="K55" i="323"/>
  <c r="U54" i="323"/>
  <c r="T54" i="323"/>
  <c r="S54" i="323"/>
  <c r="Q54" i="323"/>
  <c r="K54" i="323"/>
  <c r="AM53" i="323"/>
  <c r="AM55" i="323" s="1"/>
  <c r="Y53" i="323"/>
  <c r="U53" i="323"/>
  <c r="T53" i="323"/>
  <c r="Q53" i="323"/>
  <c r="S53" i="323" s="1"/>
  <c r="K53" i="323"/>
  <c r="U52" i="323"/>
  <c r="T52" i="323"/>
  <c r="S52" i="323"/>
  <c r="Q52" i="323"/>
  <c r="K52" i="323"/>
  <c r="Y51" i="323"/>
  <c r="U51" i="323"/>
  <c r="T51" i="323"/>
  <c r="S51" i="323"/>
  <c r="K51" i="323"/>
  <c r="AB50" i="323"/>
  <c r="U50" i="323"/>
  <c r="T50" i="323"/>
  <c r="S50" i="323"/>
  <c r="Q50" i="323"/>
  <c r="K50" i="323"/>
  <c r="Y49" i="323"/>
  <c r="Z49" i="323" s="1"/>
  <c r="U49" i="323"/>
  <c r="T49" i="323"/>
  <c r="S49" i="323"/>
  <c r="Q49" i="323"/>
  <c r="K49" i="323"/>
  <c r="Y48" i="323"/>
  <c r="Z48" i="323" s="1"/>
  <c r="U48" i="323"/>
  <c r="T48" i="323"/>
  <c r="S48" i="323"/>
  <c r="Q48" i="323"/>
  <c r="K48" i="323"/>
  <c r="U47" i="323"/>
  <c r="T47" i="323"/>
  <c r="S47" i="323"/>
  <c r="Q47" i="323"/>
  <c r="K47" i="323"/>
  <c r="AF46" i="323"/>
  <c r="U46" i="323"/>
  <c r="T46" i="323"/>
  <c r="Q46" i="323"/>
  <c r="S46" i="323" s="1"/>
  <c r="K46" i="323"/>
  <c r="AB45" i="323"/>
  <c r="AA45" i="323"/>
  <c r="U45" i="323"/>
  <c r="T45" i="323"/>
  <c r="S45" i="323"/>
  <c r="Q45" i="323"/>
  <c r="K45" i="323"/>
  <c r="AE44" i="323"/>
  <c r="AE46" i="323" s="1"/>
  <c r="AB44" i="323"/>
  <c r="AA44" i="323"/>
  <c r="U44" i="323"/>
  <c r="T44" i="323"/>
  <c r="S44" i="323"/>
  <c r="Q44" i="323"/>
  <c r="K44" i="323"/>
  <c r="AB43" i="323"/>
  <c r="AA43" i="323"/>
  <c r="U43" i="323"/>
  <c r="T43" i="323"/>
  <c r="S43" i="323"/>
  <c r="Q43" i="323"/>
  <c r="K43" i="323"/>
  <c r="U42" i="323"/>
  <c r="T42" i="323"/>
  <c r="S42" i="323"/>
  <c r="Q42" i="323"/>
  <c r="K42" i="323"/>
  <c r="U41" i="323"/>
  <c r="T41" i="323"/>
  <c r="S41" i="323"/>
  <c r="Q41" i="323"/>
  <c r="K41" i="323"/>
  <c r="U40" i="323"/>
  <c r="T40" i="323"/>
  <c r="S40" i="323"/>
  <c r="K40" i="323"/>
  <c r="AH39" i="323"/>
  <c r="U39" i="323"/>
  <c r="T39" i="323"/>
  <c r="S39" i="323"/>
  <c r="Q39" i="323"/>
  <c r="K39" i="323"/>
  <c r="U38" i="323"/>
  <c r="T38" i="323"/>
  <c r="S38" i="323"/>
  <c r="Q38" i="323"/>
  <c r="K38" i="323"/>
  <c r="U37" i="323"/>
  <c r="T37" i="323"/>
  <c r="S37" i="323"/>
  <c r="Q37" i="323"/>
  <c r="K37" i="323"/>
  <c r="Z36" i="323"/>
  <c r="U36" i="323"/>
  <c r="T36" i="323"/>
  <c r="S36" i="323"/>
  <c r="Q36" i="323"/>
  <c r="K36" i="323"/>
  <c r="Z35" i="323"/>
  <c r="U35" i="323"/>
  <c r="T35" i="323"/>
  <c r="S35" i="323"/>
  <c r="Q35" i="323"/>
  <c r="K35" i="323"/>
  <c r="AI34" i="323"/>
  <c r="AH34" i="323"/>
  <c r="AC34" i="323"/>
  <c r="AC35" i="323" s="1"/>
  <c r="U34" i="323"/>
  <c r="T34" i="323"/>
  <c r="S34" i="323"/>
  <c r="Q34" i="323"/>
  <c r="K34" i="323"/>
  <c r="U33" i="323"/>
  <c r="T33" i="323"/>
  <c r="S33" i="323"/>
  <c r="Q33" i="323"/>
  <c r="K33" i="323"/>
  <c r="U32" i="323"/>
  <c r="T32" i="323"/>
  <c r="S32" i="323"/>
  <c r="Q32" i="323"/>
  <c r="K32" i="323"/>
  <c r="U31" i="323"/>
  <c r="T31" i="323"/>
  <c r="S31" i="323"/>
  <c r="Q31" i="323"/>
  <c r="K31" i="323"/>
  <c r="Z30" i="323"/>
  <c r="Z10" i="323" s="1"/>
  <c r="U30" i="323"/>
  <c r="T30" i="323"/>
  <c r="S30" i="323"/>
  <c r="Q30" i="323"/>
  <c r="K30" i="323"/>
  <c r="U29" i="323"/>
  <c r="J125" i="323" s="1"/>
  <c r="J151" i="323" s="1"/>
  <c r="T29" i="323"/>
  <c r="S29" i="323"/>
  <c r="Q29" i="323"/>
  <c r="K29" i="323"/>
  <c r="AA28" i="323"/>
  <c r="U28" i="323"/>
  <c r="T28" i="323"/>
  <c r="S28" i="323"/>
  <c r="Q28" i="323"/>
  <c r="K28" i="323"/>
  <c r="AC27" i="323"/>
  <c r="AA27" i="323"/>
  <c r="U27" i="323"/>
  <c r="T27" i="323"/>
  <c r="S27" i="323"/>
  <c r="Q27" i="323"/>
  <c r="K27" i="323"/>
  <c r="AC26" i="323"/>
  <c r="AD26" i="323" s="1"/>
  <c r="AD27" i="323" s="1"/>
  <c r="T26" i="323"/>
  <c r="S26" i="323"/>
  <c r="Q26" i="323"/>
  <c r="U26" i="323" s="1"/>
  <c r="K26" i="323"/>
  <c r="AE25" i="323"/>
  <c r="U25" i="323"/>
  <c r="T25" i="323"/>
  <c r="Q25" i="323"/>
  <c r="S25" i="323" s="1"/>
  <c r="K25" i="323"/>
  <c r="U24" i="323"/>
  <c r="T24" i="323"/>
  <c r="S24" i="323"/>
  <c r="Q24" i="323"/>
  <c r="K24" i="323"/>
  <c r="U23" i="323"/>
  <c r="T23" i="323"/>
  <c r="S23" i="323"/>
  <c r="Q23" i="323"/>
  <c r="K23" i="323"/>
  <c r="U22" i="323"/>
  <c r="T22" i="323"/>
  <c r="Q22" i="323"/>
  <c r="S22" i="323" s="1"/>
  <c r="K22" i="323"/>
  <c r="U21" i="323"/>
  <c r="T21" i="323"/>
  <c r="Q21" i="323"/>
  <c r="S21" i="323" s="1"/>
  <c r="K21" i="323"/>
  <c r="U20" i="323"/>
  <c r="T20" i="323"/>
  <c r="Q20" i="323"/>
  <c r="S20" i="323" s="1"/>
  <c r="K20" i="323"/>
  <c r="U19" i="323"/>
  <c r="T19" i="323"/>
  <c r="S19" i="323"/>
  <c r="Q19" i="323"/>
  <c r="K19" i="323"/>
  <c r="U18" i="323"/>
  <c r="S18" i="323"/>
  <c r="Q18" i="323"/>
  <c r="T18" i="323" s="1"/>
  <c r="K18" i="323"/>
  <c r="U17" i="323"/>
  <c r="Q17" i="323"/>
  <c r="K17" i="323"/>
  <c r="U16" i="323"/>
  <c r="T16" i="323"/>
  <c r="S16" i="323"/>
  <c r="K16" i="323"/>
  <c r="Z15" i="323"/>
  <c r="U15" i="323"/>
  <c r="T15" i="323"/>
  <c r="Q15" i="323"/>
  <c r="S15" i="323" s="1"/>
  <c r="K15" i="323"/>
  <c r="U14" i="323"/>
  <c r="T14" i="323"/>
  <c r="Q14" i="323"/>
  <c r="S14" i="323" s="1"/>
  <c r="K14" i="323"/>
  <c r="U13" i="323"/>
  <c r="S13" i="323"/>
  <c r="Q13" i="323"/>
  <c r="T13" i="323" s="1"/>
  <c r="K13" i="323"/>
  <c r="AC12" i="323"/>
  <c r="AB12" i="323"/>
  <c r="AA12" i="323"/>
  <c r="U12" i="323"/>
  <c r="S12" i="323"/>
  <c r="Q12" i="323"/>
  <c r="T12" i="323" s="1"/>
  <c r="K12" i="323"/>
  <c r="AH11" i="323"/>
  <c r="AE11" i="323"/>
  <c r="AA11" i="323"/>
  <c r="U11" i="323"/>
  <c r="T11" i="323"/>
  <c r="Q11" i="323"/>
  <c r="S11" i="323" s="1"/>
  <c r="K11" i="323"/>
  <c r="AH10" i="323"/>
  <c r="AE10" i="323"/>
  <c r="AB10" i="323"/>
  <c r="U10" i="323"/>
  <c r="Q10" i="323"/>
  <c r="S10" i="323" s="1"/>
  <c r="K10" i="323"/>
  <c r="AT16" i="323" s="1"/>
  <c r="AU16" i="323" s="1"/>
  <c r="AA9" i="323"/>
  <c r="U9" i="323"/>
  <c r="Q9" i="323"/>
  <c r="S9" i="323" s="1"/>
  <c r="K9" i="323"/>
  <c r="U8" i="323"/>
  <c r="T8" i="323"/>
  <c r="Q8" i="323"/>
  <c r="S8" i="323" s="1"/>
  <c r="K8" i="323"/>
  <c r="Z7" i="323"/>
  <c r="U7" i="323"/>
  <c r="Q7" i="323"/>
  <c r="I105" i="323"/>
  <c r="Z6" i="323"/>
  <c r="U6" i="323"/>
  <c r="T6" i="323"/>
  <c r="Q6" i="323"/>
  <c r="S6" i="323" s="1"/>
  <c r="K6" i="323"/>
  <c r="AM5" i="323"/>
  <c r="AM6" i="323" s="1"/>
  <c r="AM8" i="323" s="1"/>
  <c r="AL5" i="323"/>
  <c r="AL6" i="323" s="1"/>
  <c r="AL8" i="323" s="1"/>
  <c r="AK5" i="323"/>
  <c r="AK6" i="323" s="1"/>
  <c r="AK8" i="323" s="1"/>
  <c r="AJ5" i="323"/>
  <c r="AJ6" i="323" s="1"/>
  <c r="AJ8" i="323" s="1"/>
  <c r="U5" i="323"/>
  <c r="S5" i="323"/>
  <c r="Q5" i="323"/>
  <c r="T5" i="323" s="1"/>
  <c r="K5" i="323"/>
  <c r="U4" i="323"/>
  <c r="S4" i="323"/>
  <c r="Q4" i="323"/>
  <c r="K4" i="323"/>
  <c r="AO3" i="323"/>
  <c r="U3" i="323"/>
  <c r="S3" i="323"/>
  <c r="Q3" i="323"/>
  <c r="T3" i="323" s="1"/>
  <c r="K3" i="323"/>
  <c r="U2" i="323"/>
  <c r="T2" i="323"/>
  <c r="Q2" i="323"/>
  <c r="S2" i="323" s="1"/>
  <c r="K2" i="323"/>
  <c r="P170" i="322"/>
  <c r="I170" i="322"/>
  <c r="Q169" i="322"/>
  <c r="R169" i="322" s="1"/>
  <c r="Q168" i="322"/>
  <c r="R168" i="322" s="1"/>
  <c r="Q167" i="322"/>
  <c r="R167" i="322" s="1"/>
  <c r="Q162" i="322"/>
  <c r="I162" i="322"/>
  <c r="R160" i="322"/>
  <c r="T160" i="322" s="1"/>
  <c r="J160" i="322"/>
  <c r="L160" i="322" s="1"/>
  <c r="R159" i="322"/>
  <c r="T159" i="322" s="1"/>
  <c r="J159" i="322"/>
  <c r="L159" i="322" s="1"/>
  <c r="R158" i="322"/>
  <c r="T158" i="322" s="1"/>
  <c r="J158" i="322"/>
  <c r="L158" i="322" s="1"/>
  <c r="I149" i="322"/>
  <c r="J138" i="322"/>
  <c r="I138" i="322"/>
  <c r="J137" i="322"/>
  <c r="I137" i="322"/>
  <c r="J136" i="322"/>
  <c r="I136" i="322"/>
  <c r="K136" i="322" s="1"/>
  <c r="J135" i="322"/>
  <c r="I135" i="322"/>
  <c r="J134" i="322"/>
  <c r="I134" i="322"/>
  <c r="J133" i="322"/>
  <c r="I133" i="322"/>
  <c r="J132" i="322"/>
  <c r="I132" i="322"/>
  <c r="K131" i="322"/>
  <c r="J131" i="322"/>
  <c r="I131" i="322"/>
  <c r="J130" i="322"/>
  <c r="I130" i="322"/>
  <c r="J129" i="322"/>
  <c r="I129" i="322"/>
  <c r="J128" i="322"/>
  <c r="I128" i="322"/>
  <c r="I125" i="322"/>
  <c r="I124" i="322"/>
  <c r="J123" i="322"/>
  <c r="J149" i="322" s="1"/>
  <c r="I123" i="322"/>
  <c r="J122" i="322"/>
  <c r="I122" i="322"/>
  <c r="I121" i="322"/>
  <c r="J121" i="322" s="1"/>
  <c r="I119" i="322"/>
  <c r="J119" i="322" s="1"/>
  <c r="I118" i="322"/>
  <c r="I117" i="322"/>
  <c r="I116" i="322"/>
  <c r="AC115" i="322"/>
  <c r="J115" i="322"/>
  <c r="I115" i="322"/>
  <c r="B115" i="322"/>
  <c r="P106" i="322"/>
  <c r="R105" i="322"/>
  <c r="P105" i="322"/>
  <c r="M105" i="322"/>
  <c r="J105" i="322"/>
  <c r="H105" i="322"/>
  <c r="B105" i="322"/>
  <c r="U103" i="322"/>
  <c r="T103" i="322"/>
  <c r="S103" i="322"/>
  <c r="Q103" i="322"/>
  <c r="K103" i="322"/>
  <c r="U102" i="322"/>
  <c r="T102" i="322"/>
  <c r="S102" i="322"/>
  <c r="Q102" i="322"/>
  <c r="K102" i="322"/>
  <c r="U101" i="322"/>
  <c r="T101" i="322"/>
  <c r="S101" i="322"/>
  <c r="Q101" i="322"/>
  <c r="K101" i="322"/>
  <c r="U100" i="322"/>
  <c r="T100" i="322"/>
  <c r="S100" i="322"/>
  <c r="Q100" i="322"/>
  <c r="K100" i="322"/>
  <c r="U99" i="322"/>
  <c r="T99" i="322"/>
  <c r="S99" i="322"/>
  <c r="Q99" i="322"/>
  <c r="K99" i="322"/>
  <c r="U98" i="322"/>
  <c r="T98" i="322"/>
  <c r="S98" i="322"/>
  <c r="Q98" i="322"/>
  <c r="K98" i="322"/>
  <c r="U97" i="322"/>
  <c r="T97" i="322"/>
  <c r="S97" i="322"/>
  <c r="Q97" i="322"/>
  <c r="K97" i="322"/>
  <c r="U96" i="322"/>
  <c r="T96" i="322"/>
  <c r="S96" i="322"/>
  <c r="Q96" i="322"/>
  <c r="K96" i="322"/>
  <c r="U95" i="322"/>
  <c r="T95" i="322"/>
  <c r="S95" i="322"/>
  <c r="Q95" i="322"/>
  <c r="K95" i="322"/>
  <c r="U94" i="322"/>
  <c r="T94" i="322"/>
  <c r="S94" i="322"/>
  <c r="Q94" i="322"/>
  <c r="K94" i="322"/>
  <c r="U93" i="322"/>
  <c r="T93" i="322"/>
  <c r="S93" i="322"/>
  <c r="Q93" i="322"/>
  <c r="K93" i="322"/>
  <c r="AA92" i="322"/>
  <c r="U92" i="322"/>
  <c r="T92" i="322"/>
  <c r="S92" i="322"/>
  <c r="Q92" i="322"/>
  <c r="K92" i="322"/>
  <c r="U91" i="322"/>
  <c r="T91" i="322"/>
  <c r="S91" i="322"/>
  <c r="Q91" i="322"/>
  <c r="K91" i="322"/>
  <c r="U90" i="322"/>
  <c r="T90" i="322"/>
  <c r="S90" i="322"/>
  <c r="Q90" i="322"/>
  <c r="K90" i="322"/>
  <c r="U89" i="322"/>
  <c r="T89" i="322"/>
  <c r="S89" i="322"/>
  <c r="Q89" i="322"/>
  <c r="K89" i="322"/>
  <c r="U88" i="322"/>
  <c r="T88" i="322"/>
  <c r="S88" i="322"/>
  <c r="Q88" i="322"/>
  <c r="K88" i="322"/>
  <c r="AE87" i="322"/>
  <c r="AA87" i="322"/>
  <c r="Y87" i="322"/>
  <c r="U87" i="322"/>
  <c r="T87" i="322"/>
  <c r="S87" i="322"/>
  <c r="Q87" i="322"/>
  <c r="K87" i="322"/>
  <c r="AF86" i="322"/>
  <c r="AG86" i="322" s="1"/>
  <c r="AH86" i="322" s="1"/>
  <c r="AH87" i="322" s="1"/>
  <c r="AH88" i="322" s="1"/>
  <c r="U86" i="322"/>
  <c r="T86" i="322"/>
  <c r="S86" i="322"/>
  <c r="Q86" i="322"/>
  <c r="K86" i="322"/>
  <c r="U85" i="322"/>
  <c r="T85" i="322"/>
  <c r="S85" i="322"/>
  <c r="Q85" i="322"/>
  <c r="K85" i="322"/>
  <c r="U84" i="322"/>
  <c r="T84" i="322"/>
  <c r="S84" i="322"/>
  <c r="Q84" i="322"/>
  <c r="K84" i="322"/>
  <c r="U83" i="322"/>
  <c r="T83" i="322"/>
  <c r="S83" i="322"/>
  <c r="Q83" i="322"/>
  <c r="K83" i="322"/>
  <c r="U82" i="322"/>
  <c r="T82" i="322"/>
  <c r="S82" i="322"/>
  <c r="Q82" i="322"/>
  <c r="K82" i="322"/>
  <c r="Z81" i="322"/>
  <c r="U81" i="322"/>
  <c r="T81" i="322"/>
  <c r="S81" i="322"/>
  <c r="Q81" i="322"/>
  <c r="K81" i="322"/>
  <c r="AI80" i="322"/>
  <c r="U80" i="322"/>
  <c r="T80" i="322"/>
  <c r="S80" i="322"/>
  <c r="Q80" i="322"/>
  <c r="K80" i="322"/>
  <c r="AA79" i="322"/>
  <c r="AA81" i="322" s="1"/>
  <c r="AA86" i="322" s="1"/>
  <c r="AB86" i="322" s="1"/>
  <c r="AC86" i="322" s="1"/>
  <c r="AD86" i="322" s="1"/>
  <c r="AD87" i="322" s="1"/>
  <c r="AD88" i="322" s="1"/>
  <c r="U79" i="322"/>
  <c r="T79" i="322"/>
  <c r="S79" i="322"/>
  <c r="Q79" i="322"/>
  <c r="K79" i="322"/>
  <c r="AI78" i="322"/>
  <c r="U78" i="322"/>
  <c r="T78" i="322"/>
  <c r="S78" i="322"/>
  <c r="Q78" i="322"/>
  <c r="K78" i="322"/>
  <c r="U77" i="322"/>
  <c r="T77" i="322"/>
  <c r="S77" i="322"/>
  <c r="Q77" i="322"/>
  <c r="K77" i="322"/>
  <c r="U76" i="322"/>
  <c r="T76" i="322"/>
  <c r="S76" i="322"/>
  <c r="Q76" i="322"/>
  <c r="K76" i="322"/>
  <c r="U75" i="322"/>
  <c r="T75" i="322"/>
  <c r="S75" i="322"/>
  <c r="Q75" i="322"/>
  <c r="K75" i="322"/>
  <c r="U74" i="322"/>
  <c r="T74" i="322"/>
  <c r="S74" i="322"/>
  <c r="Q74" i="322"/>
  <c r="K74" i="322"/>
  <c r="AP73" i="322"/>
  <c r="AQ73" i="322" s="1"/>
  <c r="AD73" i="322"/>
  <c r="AM72" i="322" s="1"/>
  <c r="AN73" i="322" s="1"/>
  <c r="Z73" i="322"/>
  <c r="U73" i="322"/>
  <c r="T73" i="322"/>
  <c r="S73" i="322"/>
  <c r="Q73" i="322"/>
  <c r="K73" i="322"/>
  <c r="Z72" i="322"/>
  <c r="U72" i="322"/>
  <c r="T72" i="322"/>
  <c r="S72" i="322"/>
  <c r="Q72" i="322"/>
  <c r="K72" i="322"/>
  <c r="U71" i="322"/>
  <c r="T71" i="322"/>
  <c r="S71" i="322"/>
  <c r="Q71" i="322"/>
  <c r="K71" i="322"/>
  <c r="U70" i="322"/>
  <c r="T70" i="322"/>
  <c r="S70" i="322"/>
  <c r="Q70" i="322"/>
  <c r="K70" i="322"/>
  <c r="U69" i="322"/>
  <c r="T69" i="322"/>
  <c r="S69" i="322"/>
  <c r="Q69" i="322"/>
  <c r="K69" i="322"/>
  <c r="U68" i="322"/>
  <c r="T68" i="322"/>
  <c r="S68" i="322"/>
  <c r="Q68" i="322"/>
  <c r="K68" i="322"/>
  <c r="AL67" i="322"/>
  <c r="AA67" i="322"/>
  <c r="U67" i="322"/>
  <c r="T67" i="322"/>
  <c r="S67" i="322"/>
  <c r="Q67" i="322"/>
  <c r="K67" i="322"/>
  <c r="AF66" i="322"/>
  <c r="U66" i="322"/>
  <c r="T66" i="322"/>
  <c r="S66" i="322"/>
  <c r="Q66" i="322"/>
  <c r="K66" i="322"/>
  <c r="AF65" i="322"/>
  <c r="U65" i="322"/>
  <c r="T65" i="322"/>
  <c r="S65" i="322"/>
  <c r="Q65" i="322"/>
  <c r="K65" i="322"/>
  <c r="AL64" i="322"/>
  <c r="U64" i="322"/>
  <c r="T64" i="322"/>
  <c r="S64" i="322"/>
  <c r="Q64" i="322"/>
  <c r="K64" i="322"/>
  <c r="U63" i="322"/>
  <c r="T63" i="322"/>
  <c r="S63" i="322"/>
  <c r="Q63" i="322"/>
  <c r="K63" i="322"/>
  <c r="AC62" i="322"/>
  <c r="U62" i="322"/>
  <c r="T62" i="322"/>
  <c r="S62" i="322"/>
  <c r="Q62" i="322"/>
  <c r="K62" i="322"/>
  <c r="AE61" i="322"/>
  <c r="U61" i="322"/>
  <c r="T61" i="322"/>
  <c r="S61" i="322"/>
  <c r="Q61" i="322"/>
  <c r="K61" i="322"/>
  <c r="AL60" i="322"/>
  <c r="U60" i="322"/>
  <c r="T60" i="322"/>
  <c r="S60" i="322"/>
  <c r="Q60" i="322"/>
  <c r="K60" i="322"/>
  <c r="AH59" i="322"/>
  <c r="AE59" i="322"/>
  <c r="AG59" i="322" s="1"/>
  <c r="AB59" i="322"/>
  <c r="AA59" i="322"/>
  <c r="AC79" i="322" s="1"/>
  <c r="U59" i="322"/>
  <c r="T59" i="322"/>
  <c r="S59" i="322"/>
  <c r="Q59" i="322"/>
  <c r="K59" i="322"/>
  <c r="AB58" i="322"/>
  <c r="AA58" i="322"/>
  <c r="AC78" i="322" s="1"/>
  <c r="U58" i="322"/>
  <c r="T58" i="322"/>
  <c r="S58" i="322"/>
  <c r="Q58" i="322"/>
  <c r="K58" i="322"/>
  <c r="U57" i="322"/>
  <c r="T57" i="322"/>
  <c r="S57" i="322"/>
  <c r="Q57" i="322"/>
  <c r="K57" i="322"/>
  <c r="U56" i="322"/>
  <c r="T56" i="322"/>
  <c r="S56" i="322"/>
  <c r="Q56" i="322"/>
  <c r="K56" i="322"/>
  <c r="AL55" i="322"/>
  <c r="Y55" i="322"/>
  <c r="U55" i="322"/>
  <c r="S55" i="322"/>
  <c r="Q55" i="322"/>
  <c r="T55" i="322" s="1"/>
  <c r="K55" i="322"/>
  <c r="U54" i="322"/>
  <c r="T54" i="322"/>
  <c r="S54" i="322"/>
  <c r="Q54" i="322"/>
  <c r="K54" i="322"/>
  <c r="AM53" i="322"/>
  <c r="AM55" i="322" s="1"/>
  <c r="Y53" i="322"/>
  <c r="U53" i="322"/>
  <c r="T53" i="322"/>
  <c r="Q53" i="322"/>
  <c r="S53" i="322" s="1"/>
  <c r="K53" i="322"/>
  <c r="U52" i="322"/>
  <c r="T52" i="322"/>
  <c r="S52" i="322"/>
  <c r="Q52" i="322"/>
  <c r="K52" i="322"/>
  <c r="Y51" i="322"/>
  <c r="U51" i="322"/>
  <c r="T51" i="322"/>
  <c r="S51" i="322"/>
  <c r="K51" i="322"/>
  <c r="AB50" i="322"/>
  <c r="U50" i="322"/>
  <c r="T50" i="322"/>
  <c r="S50" i="322"/>
  <c r="Q50" i="322"/>
  <c r="K50" i="322"/>
  <c r="Y49" i="322"/>
  <c r="Z49" i="322" s="1"/>
  <c r="U49" i="322"/>
  <c r="T49" i="322"/>
  <c r="S49" i="322"/>
  <c r="Q49" i="322"/>
  <c r="K49" i="322"/>
  <c r="Y48" i="322"/>
  <c r="Z48" i="322" s="1"/>
  <c r="U48" i="322"/>
  <c r="T48" i="322"/>
  <c r="S48" i="322"/>
  <c r="Q48" i="322"/>
  <c r="K48" i="322"/>
  <c r="U47" i="322"/>
  <c r="T47" i="322"/>
  <c r="S47" i="322"/>
  <c r="Q47" i="322"/>
  <c r="K47" i="322"/>
  <c r="AF46" i="322"/>
  <c r="U46" i="322"/>
  <c r="T46" i="322"/>
  <c r="Q46" i="322"/>
  <c r="S46" i="322" s="1"/>
  <c r="K46" i="322"/>
  <c r="AB45" i="322"/>
  <c r="AA45" i="322"/>
  <c r="U45" i="322"/>
  <c r="T45" i="322"/>
  <c r="S45" i="322"/>
  <c r="Q45" i="322"/>
  <c r="K45" i="322"/>
  <c r="AE44" i="322"/>
  <c r="AE46" i="322" s="1"/>
  <c r="AB44" i="322"/>
  <c r="AA44" i="322"/>
  <c r="U44" i="322"/>
  <c r="T44" i="322"/>
  <c r="S44" i="322"/>
  <c r="Q44" i="322"/>
  <c r="K44" i="322"/>
  <c r="AB43" i="322"/>
  <c r="AA43" i="322"/>
  <c r="U43" i="322"/>
  <c r="T43" i="322"/>
  <c r="S43" i="322"/>
  <c r="Q43" i="322"/>
  <c r="K43" i="322"/>
  <c r="U42" i="322"/>
  <c r="T42" i="322"/>
  <c r="S42" i="322"/>
  <c r="Q42" i="322"/>
  <c r="K42" i="322"/>
  <c r="U41" i="322"/>
  <c r="T41" i="322"/>
  <c r="S41" i="322"/>
  <c r="Q41" i="322"/>
  <c r="K41" i="322"/>
  <c r="U40" i="322"/>
  <c r="T40" i="322"/>
  <c r="S40" i="322"/>
  <c r="K40" i="322"/>
  <c r="AH39" i="322"/>
  <c r="U39" i="322"/>
  <c r="T39" i="322"/>
  <c r="S39" i="322"/>
  <c r="Q39" i="322"/>
  <c r="K39" i="322"/>
  <c r="U38" i="322"/>
  <c r="T38" i="322"/>
  <c r="S38" i="322"/>
  <c r="Q38" i="322"/>
  <c r="K38" i="322"/>
  <c r="U37" i="322"/>
  <c r="T37" i="322"/>
  <c r="S37" i="322"/>
  <c r="Q37" i="322"/>
  <c r="K37" i="322"/>
  <c r="Z36" i="322"/>
  <c r="U36" i="322"/>
  <c r="T36" i="322"/>
  <c r="S36" i="322"/>
  <c r="Q36" i="322"/>
  <c r="K36" i="322"/>
  <c r="Z35" i="322"/>
  <c r="U35" i="322"/>
  <c r="T35" i="322"/>
  <c r="S35" i="322"/>
  <c r="Q35" i="322"/>
  <c r="K35" i="322"/>
  <c r="AI34" i="322"/>
  <c r="AH34" i="322"/>
  <c r="AC34" i="322"/>
  <c r="AC35" i="322" s="1"/>
  <c r="U34" i="322"/>
  <c r="T34" i="322"/>
  <c r="S34" i="322"/>
  <c r="Q34" i="322"/>
  <c r="K34" i="322"/>
  <c r="U33" i="322"/>
  <c r="T33" i="322"/>
  <c r="S33" i="322"/>
  <c r="Q33" i="322"/>
  <c r="K33" i="322"/>
  <c r="U32" i="322"/>
  <c r="T32" i="322"/>
  <c r="S32" i="322"/>
  <c r="Q32" i="322"/>
  <c r="K32" i="322"/>
  <c r="U31" i="322"/>
  <c r="T31" i="322"/>
  <c r="S31" i="322"/>
  <c r="Q31" i="322"/>
  <c r="K31" i="322"/>
  <c r="Z30" i="322"/>
  <c r="U30" i="322"/>
  <c r="T30" i="322"/>
  <c r="S30" i="322"/>
  <c r="Q30" i="322"/>
  <c r="K30" i="322"/>
  <c r="U29" i="322"/>
  <c r="J125" i="322" s="1"/>
  <c r="J151" i="322" s="1"/>
  <c r="T29" i="322"/>
  <c r="S29" i="322"/>
  <c r="Q29" i="322"/>
  <c r="K29" i="322"/>
  <c r="AA28" i="322"/>
  <c r="U28" i="322"/>
  <c r="T28" i="322"/>
  <c r="S28" i="322"/>
  <c r="Q28" i="322"/>
  <c r="K28" i="322"/>
  <c r="AC27" i="322"/>
  <c r="AA27" i="322"/>
  <c r="U27" i="322"/>
  <c r="T27" i="322"/>
  <c r="S27" i="322"/>
  <c r="Q27" i="322"/>
  <c r="K27" i="322"/>
  <c r="AC26" i="322"/>
  <c r="AE26" i="322" s="1"/>
  <c r="T26" i="322"/>
  <c r="S26" i="322"/>
  <c r="Q26" i="322"/>
  <c r="U26" i="322" s="1"/>
  <c r="K26" i="322"/>
  <c r="AE25" i="322"/>
  <c r="U25" i="322"/>
  <c r="T25" i="322"/>
  <c r="Q25" i="322"/>
  <c r="S25" i="322" s="1"/>
  <c r="K25" i="322"/>
  <c r="U24" i="322"/>
  <c r="T24" i="322"/>
  <c r="S24" i="322"/>
  <c r="Q24" i="322"/>
  <c r="K24" i="322"/>
  <c r="U23" i="322"/>
  <c r="T23" i="322"/>
  <c r="S23" i="322"/>
  <c r="Q23" i="322"/>
  <c r="K23" i="322"/>
  <c r="U22" i="322"/>
  <c r="T22" i="322"/>
  <c r="Q22" i="322"/>
  <c r="S22" i="322" s="1"/>
  <c r="K22" i="322"/>
  <c r="U21" i="322"/>
  <c r="S21" i="322"/>
  <c r="Q21" i="322"/>
  <c r="T21" i="322" s="1"/>
  <c r="K21" i="322"/>
  <c r="U20" i="322"/>
  <c r="T20" i="322"/>
  <c r="Q20" i="322"/>
  <c r="S20" i="322" s="1"/>
  <c r="K20" i="322"/>
  <c r="U19" i="322"/>
  <c r="T19" i="322"/>
  <c r="S19" i="322"/>
  <c r="Q19" i="322"/>
  <c r="K19" i="322"/>
  <c r="AT13" i="322" s="1"/>
  <c r="AU13" i="322" s="1"/>
  <c r="U18" i="322"/>
  <c r="S18" i="322"/>
  <c r="Q18" i="322"/>
  <c r="T18" i="322" s="1"/>
  <c r="K18" i="322"/>
  <c r="U17" i="322"/>
  <c r="Q17" i="322"/>
  <c r="T17" i="322" s="1"/>
  <c r="K17" i="322"/>
  <c r="U16" i="322"/>
  <c r="T16" i="322"/>
  <c r="S16" i="322"/>
  <c r="K16" i="322"/>
  <c r="Z15" i="322"/>
  <c r="U15" i="322"/>
  <c r="T15" i="322"/>
  <c r="Q15" i="322"/>
  <c r="S15" i="322" s="1"/>
  <c r="K15" i="322"/>
  <c r="U14" i="322"/>
  <c r="T14" i="322"/>
  <c r="Q14" i="322"/>
  <c r="S14" i="322" s="1"/>
  <c r="K14" i="322"/>
  <c r="U13" i="322"/>
  <c r="S13" i="322"/>
  <c r="Q13" i="322"/>
  <c r="T13" i="322" s="1"/>
  <c r="K13" i="322"/>
  <c r="AC12" i="322"/>
  <c r="AB12" i="322"/>
  <c r="AA12" i="322"/>
  <c r="U12" i="322"/>
  <c r="S12" i="322"/>
  <c r="Q12" i="322"/>
  <c r="T12" i="322" s="1"/>
  <c r="K12" i="322"/>
  <c r="AH11" i="322"/>
  <c r="AE11" i="322"/>
  <c r="AA11" i="322"/>
  <c r="U11" i="322"/>
  <c r="T11" i="322"/>
  <c r="Q11" i="322"/>
  <c r="S11" i="322" s="1"/>
  <c r="K11" i="322"/>
  <c r="AH10" i="322"/>
  <c r="AE10" i="322"/>
  <c r="AB10" i="322"/>
  <c r="AC58" i="322" s="1"/>
  <c r="U10" i="322"/>
  <c r="T10" i="322"/>
  <c r="Q10" i="322"/>
  <c r="S10" i="322" s="1"/>
  <c r="K10" i="322"/>
  <c r="U9" i="322"/>
  <c r="Q9" i="322"/>
  <c r="T9" i="322" s="1"/>
  <c r="K9" i="322"/>
  <c r="U8" i="322"/>
  <c r="T8" i="322"/>
  <c r="Q8" i="322"/>
  <c r="S8" i="322" s="1"/>
  <c r="K8" i="322"/>
  <c r="Z7" i="322"/>
  <c r="U7" i="322"/>
  <c r="Q7" i="322"/>
  <c r="S7" i="322" s="1"/>
  <c r="AA42" i="322"/>
  <c r="Z6" i="322"/>
  <c r="U6" i="322"/>
  <c r="T6" i="322"/>
  <c r="Q6" i="322"/>
  <c r="S6" i="322" s="1"/>
  <c r="K6" i="322"/>
  <c r="AM5" i="322"/>
  <c r="AM6" i="322" s="1"/>
  <c r="AM8" i="322" s="1"/>
  <c r="AL5" i="322"/>
  <c r="AL6" i="322" s="1"/>
  <c r="AL8" i="322" s="1"/>
  <c r="AK5" i="322"/>
  <c r="AK6" i="322" s="1"/>
  <c r="AK8" i="322" s="1"/>
  <c r="AJ5" i="322"/>
  <c r="AJ6" i="322" s="1"/>
  <c r="AJ8" i="322" s="1"/>
  <c r="U5" i="322"/>
  <c r="S5" i="322"/>
  <c r="Q5" i="322"/>
  <c r="T5" i="322" s="1"/>
  <c r="K5" i="322"/>
  <c r="U4" i="322"/>
  <c r="S4" i="322"/>
  <c r="Q4" i="322"/>
  <c r="T4" i="322" s="1"/>
  <c r="K4" i="322"/>
  <c r="AO3" i="322"/>
  <c r="U3" i="322"/>
  <c r="S3" i="322"/>
  <c r="Q3" i="322"/>
  <c r="T3" i="322" s="1"/>
  <c r="K3" i="322"/>
  <c r="U2" i="322"/>
  <c r="T2" i="322"/>
  <c r="Q2" i="322"/>
  <c r="K2" i="322"/>
  <c r="W15" i="333" l="1"/>
  <c r="X14" i="333"/>
  <c r="W12" i="332"/>
  <c r="X11" i="332"/>
  <c r="X11" i="331"/>
  <c r="W12" i="331"/>
  <c r="W10" i="330"/>
  <c r="X9" i="330"/>
  <c r="W9" i="329"/>
  <c r="X8" i="329"/>
  <c r="W7" i="328"/>
  <c r="X6" i="328"/>
  <c r="W9" i="327"/>
  <c r="X8" i="327"/>
  <c r="AE5" i="325"/>
  <c r="AD58" i="325"/>
  <c r="AN75" i="325" s="1"/>
  <c r="AN76" i="325" s="1"/>
  <c r="Z61" i="325"/>
  <c r="Z70" i="325" s="1"/>
  <c r="Z62" i="325"/>
  <c r="Z70" i="326"/>
  <c r="AB17" i="326"/>
  <c r="AC80" i="326"/>
  <c r="AB47" i="326"/>
  <c r="AA61" i="326"/>
  <c r="AE70" i="326" s="1"/>
  <c r="AA62" i="326"/>
  <c r="AD60" i="326"/>
  <c r="AD61" i="326" s="1"/>
  <c r="AB36" i="326"/>
  <c r="AA37" i="326"/>
  <c r="AB37" i="326" s="1"/>
  <c r="AB81" i="326"/>
  <c r="AF79" i="326"/>
  <c r="AJ59" i="326"/>
  <c r="AF78" i="326"/>
  <c r="AK75" i="326"/>
  <c r="X4" i="326"/>
  <c r="W5" i="326"/>
  <c r="AE5" i="326"/>
  <c r="K129" i="323"/>
  <c r="AT22" i="323"/>
  <c r="AU22" i="323" s="1"/>
  <c r="V96" i="323"/>
  <c r="K128" i="323"/>
  <c r="K133" i="323"/>
  <c r="K135" i="323"/>
  <c r="K137" i="323"/>
  <c r="K150" i="323" s="1"/>
  <c r="AF80" i="325"/>
  <c r="AE79" i="325"/>
  <c r="AF79" i="325" s="1"/>
  <c r="AJ59" i="325"/>
  <c r="W5" i="325"/>
  <c r="X4" i="325"/>
  <c r="AB81" i="325"/>
  <c r="AD78" i="325"/>
  <c r="V91" i="323"/>
  <c r="V58" i="323"/>
  <c r="V66" i="323"/>
  <c r="V67" i="323"/>
  <c r="AT6" i="323"/>
  <c r="AU6" i="323" s="1"/>
  <c r="V46" i="323"/>
  <c r="V71" i="323"/>
  <c r="V72" i="323"/>
  <c r="N81" i="323"/>
  <c r="O83" i="323" s="1"/>
  <c r="V92" i="323"/>
  <c r="V101" i="323"/>
  <c r="V32" i="323"/>
  <c r="K134" i="323"/>
  <c r="V39" i="323"/>
  <c r="V42" i="323"/>
  <c r="V82" i="323"/>
  <c r="V51" i="323"/>
  <c r="V107" i="323" s="1"/>
  <c r="V109" i="323" s="1"/>
  <c r="V60" i="323"/>
  <c r="V61" i="323"/>
  <c r="V94" i="323"/>
  <c r="V100" i="323"/>
  <c r="V65" i="323"/>
  <c r="V90" i="323"/>
  <c r="V59" i="323"/>
  <c r="V73" i="323"/>
  <c r="V74" i="323"/>
  <c r="N94" i="323"/>
  <c r="O102" i="323" s="1"/>
  <c r="J109" i="323"/>
  <c r="J108" i="323"/>
  <c r="N85" i="323"/>
  <c r="O91" i="323" s="1"/>
  <c r="AT4" i="323"/>
  <c r="AU4" i="323" s="1"/>
  <c r="V21" i="323"/>
  <c r="AC36" i="323"/>
  <c r="V37" i="323"/>
  <c r="V41" i="323"/>
  <c r="V64" i="323"/>
  <c r="V75" i="323"/>
  <c r="V78" i="323"/>
  <c r="V81" i="323"/>
  <c r="V86" i="323"/>
  <c r="V88" i="323"/>
  <c r="V89" i="323"/>
  <c r="V93" i="323"/>
  <c r="V102" i="323"/>
  <c r="J141" i="323"/>
  <c r="I148" i="323"/>
  <c r="K130" i="323"/>
  <c r="K132" i="323"/>
  <c r="AH12" i="323"/>
  <c r="V87" i="323"/>
  <c r="V98" i="323"/>
  <c r="AT8" i="323"/>
  <c r="AU8" i="323" s="1"/>
  <c r="AT11" i="323"/>
  <c r="AU11" i="323" s="1"/>
  <c r="AT15" i="323"/>
  <c r="AU15" i="323" s="1"/>
  <c r="V23" i="323"/>
  <c r="V33" i="323"/>
  <c r="V34" i="323"/>
  <c r="AD34" i="323"/>
  <c r="AD36" i="323" s="1"/>
  <c r="AC44" i="323"/>
  <c r="V76" i="323"/>
  <c r="V79" i="323"/>
  <c r="V80" i="323"/>
  <c r="V84" i="323"/>
  <c r="X84" i="323" s="1"/>
  <c r="V97" i="323"/>
  <c r="J110" i="323"/>
  <c r="J148" i="323"/>
  <c r="AT12" i="323"/>
  <c r="AU12" i="323" s="1"/>
  <c r="V18" i="323"/>
  <c r="K122" i="323"/>
  <c r="V8" i="323"/>
  <c r="T10" i="323"/>
  <c r="V10" i="323" s="1"/>
  <c r="V5" i="323"/>
  <c r="AC43" i="323"/>
  <c r="V20" i="323"/>
  <c r="I147" i="323"/>
  <c r="V52" i="323"/>
  <c r="V30" i="323"/>
  <c r="V44" i="323"/>
  <c r="V45" i="323"/>
  <c r="V53" i="323"/>
  <c r="V55" i="323"/>
  <c r="V56" i="323"/>
  <c r="AT14" i="323"/>
  <c r="AU14" i="323" s="1"/>
  <c r="V31" i="323"/>
  <c r="V36" i="323"/>
  <c r="V38" i="323"/>
  <c r="V49" i="323"/>
  <c r="V14" i="323"/>
  <c r="V24" i="323"/>
  <c r="V25" i="323"/>
  <c r="V27" i="323"/>
  <c r="T9" i="323"/>
  <c r="V9" i="323" s="1"/>
  <c r="V19" i="323"/>
  <c r="V16" i="323"/>
  <c r="J119" i="323"/>
  <c r="J145" i="323" s="1"/>
  <c r="I143" i="323"/>
  <c r="V26" i="323"/>
  <c r="I145" i="323"/>
  <c r="AT8" i="322"/>
  <c r="AU8" i="322" s="1"/>
  <c r="AT18" i="322"/>
  <c r="AU18" i="322" s="1"/>
  <c r="I143" i="322"/>
  <c r="AT15" i="322"/>
  <c r="AU15" i="322" s="1"/>
  <c r="AT22" i="322"/>
  <c r="AU22" i="322" s="1"/>
  <c r="Z16" i="322"/>
  <c r="AA16" i="322" s="1"/>
  <c r="AE27" i="322"/>
  <c r="V60" i="322"/>
  <c r="V62" i="322"/>
  <c r="V68" i="322"/>
  <c r="V76" i="322"/>
  <c r="V79" i="322"/>
  <c r="N81" i="322"/>
  <c r="O82" i="322" s="1"/>
  <c r="J148" i="322"/>
  <c r="K133" i="322"/>
  <c r="K135" i="322"/>
  <c r="K137" i="322"/>
  <c r="K150" i="322" s="1"/>
  <c r="AT5" i="322"/>
  <c r="AU5" i="322" s="1"/>
  <c r="V35" i="322"/>
  <c r="V49" i="322"/>
  <c r="V71" i="322"/>
  <c r="V80" i="322"/>
  <c r="V97" i="322"/>
  <c r="V101" i="322"/>
  <c r="V78" i="322"/>
  <c r="V96" i="322"/>
  <c r="AT17" i="322"/>
  <c r="AU17" i="322" s="1"/>
  <c r="AA15" i="322"/>
  <c r="AD26" i="322"/>
  <c r="AD27" i="322" s="1"/>
  <c r="V36" i="322"/>
  <c r="V41" i="322"/>
  <c r="V43" i="322"/>
  <c r="V77" i="322"/>
  <c r="J141" i="322"/>
  <c r="K129" i="322"/>
  <c r="AT7" i="322"/>
  <c r="AU7" i="322" s="1"/>
  <c r="AT16" i="322"/>
  <c r="AU16" i="322" s="1"/>
  <c r="AT9" i="322"/>
  <c r="AU9" i="322" s="1"/>
  <c r="Z37" i="322"/>
  <c r="V40" i="322"/>
  <c r="V46" i="322"/>
  <c r="V58" i="322"/>
  <c r="V84" i="322"/>
  <c r="X84" i="322" s="1"/>
  <c r="N94" i="322"/>
  <c r="O98" i="322" s="1"/>
  <c r="V100" i="322"/>
  <c r="K128" i="322"/>
  <c r="AC61" i="322"/>
  <c r="AA69" i="322" s="1"/>
  <c r="V66" i="322"/>
  <c r="V82" i="322"/>
  <c r="N85" i="322"/>
  <c r="O85" i="322" s="1"/>
  <c r="V92" i="322"/>
  <c r="AH12" i="322"/>
  <c r="AT19" i="322"/>
  <c r="AU19" i="322" s="1"/>
  <c r="N50" i="322"/>
  <c r="AB62" i="322"/>
  <c r="V72" i="322"/>
  <c r="V73" i="322"/>
  <c r="V87" i="322"/>
  <c r="V90" i="322"/>
  <c r="V98" i="322"/>
  <c r="I141" i="322"/>
  <c r="O83" i="322"/>
  <c r="V30" i="322"/>
  <c r="V64" i="322"/>
  <c r="V94" i="322"/>
  <c r="AT4" i="322"/>
  <c r="AU4" i="322" s="1"/>
  <c r="V32" i="322"/>
  <c r="V44" i="322"/>
  <c r="V59" i="322"/>
  <c r="V63" i="322"/>
  <c r="V65" i="322"/>
  <c r="V67" i="322"/>
  <c r="V75" i="322"/>
  <c r="V81" i="322"/>
  <c r="V86" i="322"/>
  <c r="V88" i="322"/>
  <c r="V93" i="322"/>
  <c r="V102" i="322"/>
  <c r="I148" i="322"/>
  <c r="K132" i="322"/>
  <c r="V51" i="322"/>
  <c r="V107" i="322" s="1"/>
  <c r="V109" i="322" s="1"/>
  <c r="V8" i="322"/>
  <c r="J117" i="322"/>
  <c r="J143" i="322" s="1"/>
  <c r="V26" i="322"/>
  <c r="K121" i="322"/>
  <c r="I147" i="322"/>
  <c r="AT6" i="322"/>
  <c r="AU6" i="322" s="1"/>
  <c r="V47" i="322"/>
  <c r="V53" i="322"/>
  <c r="V31" i="322"/>
  <c r="V37" i="322"/>
  <c r="V39" i="322"/>
  <c r="V42" i="322"/>
  <c r="V45" i="322"/>
  <c r="AC45" i="322"/>
  <c r="V28" i="322"/>
  <c r="V15" i="322"/>
  <c r="V22" i="322"/>
  <c r="V24" i="322"/>
  <c r="V11" i="322"/>
  <c r="V12" i="322"/>
  <c r="V14" i="322"/>
  <c r="V19" i="322"/>
  <c r="V29" i="322"/>
  <c r="V5" i="322"/>
  <c r="V10" i="322"/>
  <c r="V13" i="322"/>
  <c r="S17" i="322"/>
  <c r="V17" i="322" s="1"/>
  <c r="V3" i="322"/>
  <c r="S9" i="322"/>
  <c r="V9" i="322" s="1"/>
  <c r="V18" i="322"/>
  <c r="V20" i="322"/>
  <c r="V27" i="322"/>
  <c r="I145" i="322"/>
  <c r="AT12" i="322"/>
  <c r="AU12" i="322" s="1"/>
  <c r="V21" i="322"/>
  <c r="AC43" i="322"/>
  <c r="AC44" i="322"/>
  <c r="K117" i="322"/>
  <c r="Q105" i="323"/>
  <c r="T4" i="323"/>
  <c r="V4" i="323" s="1"/>
  <c r="AT5" i="323"/>
  <c r="AU5" i="323" s="1"/>
  <c r="S17" i="323"/>
  <c r="T17" i="323"/>
  <c r="V2" i="323"/>
  <c r="AA42" i="323"/>
  <c r="I115" i="323"/>
  <c r="H105" i="323"/>
  <c r="S7" i="323"/>
  <c r="K7" i="323"/>
  <c r="K105" i="323" s="1"/>
  <c r="AT17" i="323"/>
  <c r="AU17" i="323" s="1"/>
  <c r="V6" i="323"/>
  <c r="AT19" i="323"/>
  <c r="AU19" i="323" s="1"/>
  <c r="AN74" i="323"/>
  <c r="AO73" i="323"/>
  <c r="AE26" i="323"/>
  <c r="AE27" i="323" s="1"/>
  <c r="AT7" i="323"/>
  <c r="AU7" i="323" s="1"/>
  <c r="U105" i="323"/>
  <c r="AD4" i="323" s="1"/>
  <c r="AT9" i="323"/>
  <c r="AU9" i="323" s="1"/>
  <c r="Z14" i="323"/>
  <c r="AA10" i="323"/>
  <c r="V13" i="323"/>
  <c r="V22" i="323"/>
  <c r="N27" i="323"/>
  <c r="O31" i="323" s="1"/>
  <c r="V29" i="323"/>
  <c r="V35" i="323"/>
  <c r="V3" i="323"/>
  <c r="AC58" i="323"/>
  <c r="AC61" i="323"/>
  <c r="AA69" i="323" s="1"/>
  <c r="V11" i="323"/>
  <c r="V12" i="323"/>
  <c r="V15" i="323"/>
  <c r="Z16" i="323"/>
  <c r="AA16" i="323" s="1"/>
  <c r="AA15" i="323"/>
  <c r="V28" i="323"/>
  <c r="V57" i="323"/>
  <c r="V63" i="323"/>
  <c r="V77" i="323"/>
  <c r="V83" i="323"/>
  <c r="V85" i="323"/>
  <c r="I146" i="323"/>
  <c r="J120" i="323"/>
  <c r="J146" i="323" s="1"/>
  <c r="Z37" i="323"/>
  <c r="AC45" i="323"/>
  <c r="N56" i="323"/>
  <c r="O69" i="323" s="1"/>
  <c r="AB61" i="323"/>
  <c r="AI59" i="323"/>
  <c r="I144" i="323"/>
  <c r="J118" i="323"/>
  <c r="J144" i="323" s="1"/>
  <c r="K125" i="323"/>
  <c r="I151" i="323"/>
  <c r="K151" i="323" s="1"/>
  <c r="I142" i="323"/>
  <c r="J116" i="323"/>
  <c r="J142" i="323" s="1"/>
  <c r="J168" i="323"/>
  <c r="K168" i="323" s="1"/>
  <c r="J167" i="323"/>
  <c r="K167" i="323" s="1"/>
  <c r="T7" i="323"/>
  <c r="AT13" i="323"/>
  <c r="AU13" i="323" s="1"/>
  <c r="AT18" i="323"/>
  <c r="AU18" i="323" s="1"/>
  <c r="V40" i="323"/>
  <c r="AB42" i="323"/>
  <c r="V43" i="323"/>
  <c r="V47" i="323"/>
  <c r="V48" i="323"/>
  <c r="N50" i="323"/>
  <c r="V50" i="323"/>
  <c r="V54" i="323"/>
  <c r="AE61" i="323"/>
  <c r="V62" i="323"/>
  <c r="AB62" i="323"/>
  <c r="V68" i="323"/>
  <c r="V70" i="323"/>
  <c r="I150" i="323"/>
  <c r="J124" i="323"/>
  <c r="J150" i="323" s="1"/>
  <c r="V69" i="323"/>
  <c r="V95" i="323"/>
  <c r="V99" i="323"/>
  <c r="V103" i="323"/>
  <c r="J143" i="323"/>
  <c r="K117" i="323"/>
  <c r="J147" i="323"/>
  <c r="K121" i="323"/>
  <c r="K123" i="323"/>
  <c r="K149" i="323" s="1"/>
  <c r="I105" i="322"/>
  <c r="K7" i="322"/>
  <c r="I120" i="322"/>
  <c r="Q105" i="322"/>
  <c r="S2" i="322"/>
  <c r="V4" i="322"/>
  <c r="AT11" i="322"/>
  <c r="AU11" i="322" s="1"/>
  <c r="AA9" i="322"/>
  <c r="Z10" i="322"/>
  <c r="N27" i="322"/>
  <c r="O30" i="322" s="1"/>
  <c r="V25" i="322"/>
  <c r="V34" i="322"/>
  <c r="AB42" i="322"/>
  <c r="AC42" i="322" s="1"/>
  <c r="V6" i="322"/>
  <c r="T7" i="322"/>
  <c r="V7" i="322" s="1"/>
  <c r="V16" i="322"/>
  <c r="V23" i="322"/>
  <c r="V33" i="322"/>
  <c r="AC36" i="322"/>
  <c r="AC37" i="322" s="1"/>
  <c r="AD34" i="322"/>
  <c r="V38" i="322"/>
  <c r="V52" i="322"/>
  <c r="V54" i="322"/>
  <c r="V57" i="322"/>
  <c r="V83" i="322"/>
  <c r="V85" i="322"/>
  <c r="K115" i="322"/>
  <c r="AT14" i="322"/>
  <c r="AU14" i="322" s="1"/>
  <c r="V48" i="322"/>
  <c r="V56" i="322"/>
  <c r="N56" i="322"/>
  <c r="O75" i="322" s="1"/>
  <c r="AB61" i="322"/>
  <c r="AI59" i="322"/>
  <c r="V61" i="322"/>
  <c r="V69" i="322"/>
  <c r="V74" i="322"/>
  <c r="V89" i="322"/>
  <c r="V91" i="322"/>
  <c r="I144" i="322"/>
  <c r="J118" i="322"/>
  <c r="J144" i="322" s="1"/>
  <c r="K122" i="322"/>
  <c r="K125" i="322"/>
  <c r="I151" i="322"/>
  <c r="K151" i="322" s="1"/>
  <c r="O100" i="322"/>
  <c r="I142" i="322"/>
  <c r="J116" i="322"/>
  <c r="J142" i="322" s="1"/>
  <c r="J168" i="322"/>
  <c r="K168" i="322" s="1"/>
  <c r="J167" i="322"/>
  <c r="K167" i="322" s="1"/>
  <c r="U105" i="322"/>
  <c r="AD4" i="322" s="1"/>
  <c r="V50" i="322"/>
  <c r="V55" i="322"/>
  <c r="O84" i="322"/>
  <c r="AN74" i="322"/>
  <c r="AO73" i="322"/>
  <c r="O81" i="322"/>
  <c r="I150" i="322"/>
  <c r="J124" i="322"/>
  <c r="J150" i="322" s="1"/>
  <c r="K130" i="322"/>
  <c r="K138" i="322"/>
  <c r="V70" i="322"/>
  <c r="V95" i="322"/>
  <c r="V99" i="322"/>
  <c r="V103" i="322"/>
  <c r="J145" i="322"/>
  <c r="K119" i="322"/>
  <c r="J147" i="322"/>
  <c r="K123" i="322"/>
  <c r="K149" i="322" s="1"/>
  <c r="K134" i="322"/>
  <c r="AI79" i="322"/>
  <c r="I7" i="321"/>
  <c r="H7" i="321"/>
  <c r="Z9" i="321"/>
  <c r="W16" i="333" l="1"/>
  <c r="X15" i="333"/>
  <c r="W13" i="332"/>
  <c r="X12" i="332"/>
  <c r="X12" i="331"/>
  <c r="W13" i="331"/>
  <c r="W11" i="330"/>
  <c r="X10" i="330"/>
  <c r="X9" i="329"/>
  <c r="W10" i="329"/>
  <c r="W8" i="328"/>
  <c r="X7" i="328"/>
  <c r="W10" i="327"/>
  <c r="X9" i="327"/>
  <c r="AB17" i="325"/>
  <c r="AE78" i="325"/>
  <c r="AE81" i="325" s="1"/>
  <c r="AD61" i="325"/>
  <c r="AD62" i="325"/>
  <c r="AE70" i="325"/>
  <c r="AL75" i="326"/>
  <c r="AD62" i="326"/>
  <c r="AC81" i="326"/>
  <c r="AD80" i="326"/>
  <c r="X5" i="326"/>
  <c r="W6" i="326"/>
  <c r="K148" i="323"/>
  <c r="K147" i="323"/>
  <c r="O82" i="323"/>
  <c r="O84" i="323"/>
  <c r="W6" i="325"/>
  <c r="X5" i="325"/>
  <c r="AD81" i="325"/>
  <c r="AK75" i="325"/>
  <c r="K143" i="323"/>
  <c r="O81" i="323"/>
  <c r="O93" i="323"/>
  <c r="AA68" i="323"/>
  <c r="AD35" i="323"/>
  <c r="AD37" i="323" s="1"/>
  <c r="J111" i="323"/>
  <c r="O94" i="323"/>
  <c r="O96" i="323"/>
  <c r="O64" i="323"/>
  <c r="O99" i="323"/>
  <c r="O100" i="323"/>
  <c r="K118" i="323"/>
  <c r="K144" i="323" s="1"/>
  <c r="O38" i="323"/>
  <c r="O95" i="323"/>
  <c r="O101" i="323"/>
  <c r="O72" i="323"/>
  <c r="O103" i="323"/>
  <c r="O98" i="323"/>
  <c r="AE36" i="323"/>
  <c r="O97" i="323"/>
  <c r="AE34" i="323"/>
  <c r="O88" i="323"/>
  <c r="O89" i="323"/>
  <c r="O85" i="323"/>
  <c r="O87" i="323"/>
  <c r="O86" i="323"/>
  <c r="AC37" i="323"/>
  <c r="O90" i="323"/>
  <c r="O92" i="323"/>
  <c r="AC42" i="323"/>
  <c r="K119" i="323"/>
  <c r="K145" i="323" s="1"/>
  <c r="T105" i="323"/>
  <c r="AB4" i="323" s="1"/>
  <c r="K120" i="323"/>
  <c r="K146" i="323" s="1"/>
  <c r="V7" i="323"/>
  <c r="K145" i="322"/>
  <c r="O99" i="322"/>
  <c r="K148" i="322"/>
  <c r="O79" i="322"/>
  <c r="O63" i="322"/>
  <c r="K141" i="322"/>
  <c r="K118" i="322"/>
  <c r="K144" i="322" s="1"/>
  <c r="AA68" i="322"/>
  <c r="O97" i="322"/>
  <c r="O94" i="322"/>
  <c r="O71" i="322"/>
  <c r="K147" i="322"/>
  <c r="O66" i="322"/>
  <c r="O102" i="322"/>
  <c r="O95" i="322"/>
  <c r="O101" i="322"/>
  <c r="O96" i="322"/>
  <c r="O90" i="322"/>
  <c r="O103" i="322"/>
  <c r="O87" i="322"/>
  <c r="O89" i="322"/>
  <c r="O93" i="322"/>
  <c r="O86" i="322"/>
  <c r="K143" i="322"/>
  <c r="O88" i="322"/>
  <c r="O92" i="322"/>
  <c r="O91" i="322"/>
  <c r="O55" i="322"/>
  <c r="O32" i="322"/>
  <c r="O45" i="322"/>
  <c r="O43" i="322"/>
  <c r="O31" i="322"/>
  <c r="O39" i="322"/>
  <c r="O42" i="322"/>
  <c r="T105" i="322"/>
  <c r="T107" i="322" s="1"/>
  <c r="O54" i="323"/>
  <c r="AT10" i="323"/>
  <c r="AU10" i="323" s="1"/>
  <c r="O80" i="323"/>
  <c r="O67" i="323"/>
  <c r="O65" i="323"/>
  <c r="O59" i="323"/>
  <c r="O79" i="323"/>
  <c r="O76" i="323"/>
  <c r="O77" i="323"/>
  <c r="O63" i="323"/>
  <c r="O57" i="323"/>
  <c r="O70" i="323"/>
  <c r="O68" i="323"/>
  <c r="O62" i="323"/>
  <c r="O75" i="323"/>
  <c r="O60" i="323"/>
  <c r="Z60" i="323"/>
  <c r="AD28" i="323"/>
  <c r="AA35" i="323"/>
  <c r="AF10" i="323"/>
  <c r="V17" i="323"/>
  <c r="O53" i="323"/>
  <c r="O66" i="323"/>
  <c r="O49" i="323"/>
  <c r="O58" i="323"/>
  <c r="AA3" i="323"/>
  <c r="AD3" i="323" s="1"/>
  <c r="Z13" i="323"/>
  <c r="AA4" i="323"/>
  <c r="Z18" i="323"/>
  <c r="Z24" i="323" s="1"/>
  <c r="W2" i="323" s="1"/>
  <c r="O44" i="323"/>
  <c r="J152" i="323"/>
  <c r="O36" i="323"/>
  <c r="O45" i="323"/>
  <c r="O42" i="323"/>
  <c r="O39" i="323"/>
  <c r="O56" i="323"/>
  <c r="O50" i="323"/>
  <c r="O34" i="323"/>
  <c r="O32" i="323"/>
  <c r="O55" i="323"/>
  <c r="O46" i="323"/>
  <c r="O35" i="323"/>
  <c r="O30" i="323"/>
  <c r="O43" i="323"/>
  <c r="O74" i="323"/>
  <c r="O37" i="323"/>
  <c r="S105" i="323"/>
  <c r="O73" i="323"/>
  <c r="O71" i="323"/>
  <c r="O78" i="323"/>
  <c r="O41" i="323"/>
  <c r="K116" i="323"/>
  <c r="K142" i="323" s="1"/>
  <c r="O61" i="323"/>
  <c r="O33" i="323"/>
  <c r="O47" i="323"/>
  <c r="I141" i="323"/>
  <c r="I152" i="323" s="1"/>
  <c r="K115" i="323"/>
  <c r="K141" i="323" s="1"/>
  <c r="N2" i="323"/>
  <c r="Z60" i="322"/>
  <c r="AF10" i="322"/>
  <c r="AA35" i="322"/>
  <c r="AD28" i="322"/>
  <c r="I146" i="322"/>
  <c r="I152" i="322" s="1"/>
  <c r="J120" i="322"/>
  <c r="J146" i="322" s="1"/>
  <c r="J152" i="322" s="1"/>
  <c r="O80" i="322"/>
  <c r="O67" i="322"/>
  <c r="O65" i="322"/>
  <c r="O60" i="322"/>
  <c r="O58" i="322"/>
  <c r="O74" i="322"/>
  <c r="O69" i="322"/>
  <c r="O57" i="322"/>
  <c r="O72" i="322"/>
  <c r="O62" i="322"/>
  <c r="O73" i="322"/>
  <c r="Z14" i="322"/>
  <c r="AA10" i="322"/>
  <c r="AT10" i="322"/>
  <c r="AU10" i="322" s="1"/>
  <c r="N2" i="322"/>
  <c r="O64" i="322"/>
  <c r="O59" i="322"/>
  <c r="O78" i="322"/>
  <c r="O70" i="322"/>
  <c r="AD35" i="322"/>
  <c r="AD36" i="322"/>
  <c r="AE36" i="322" s="1"/>
  <c r="AE34" i="322"/>
  <c r="K105" i="322"/>
  <c r="K116" i="322"/>
  <c r="K142" i="322" s="1"/>
  <c r="O76" i="322"/>
  <c r="O77" i="322"/>
  <c r="O68" i="322"/>
  <c r="O61" i="322"/>
  <c r="O56" i="322"/>
  <c r="O53" i="322"/>
  <c r="O36" i="322"/>
  <c r="O35" i="322"/>
  <c r="O50" i="322"/>
  <c r="O49" i="322"/>
  <c r="O44" i="322"/>
  <c r="O46" i="322"/>
  <c r="O54" i="322"/>
  <c r="O37" i="322"/>
  <c r="O47" i="322"/>
  <c r="O41" i="322"/>
  <c r="O38" i="322"/>
  <c r="O34" i="322"/>
  <c r="S105" i="322"/>
  <c r="V2" i="322"/>
  <c r="V105" i="322" s="1"/>
  <c r="O33" i="322"/>
  <c r="P170" i="321"/>
  <c r="Q168" i="321" s="1"/>
  <c r="R168" i="321" s="1"/>
  <c r="I170" i="321"/>
  <c r="Q169" i="321"/>
  <c r="R169" i="321" s="1"/>
  <c r="J168" i="321"/>
  <c r="K168" i="321" s="1"/>
  <c r="J167" i="321"/>
  <c r="K167" i="321" s="1"/>
  <c r="Q162" i="321"/>
  <c r="I162" i="321"/>
  <c r="R160" i="321"/>
  <c r="T160" i="321" s="1"/>
  <c r="L160" i="321"/>
  <c r="J160" i="321"/>
  <c r="R159" i="321"/>
  <c r="T159" i="321" s="1"/>
  <c r="L159" i="321"/>
  <c r="J159" i="321"/>
  <c r="R158" i="321"/>
  <c r="T158" i="321" s="1"/>
  <c r="L158" i="321"/>
  <c r="J158" i="321"/>
  <c r="I151" i="321"/>
  <c r="J138" i="321"/>
  <c r="K138" i="321" s="1"/>
  <c r="I138" i="321"/>
  <c r="J137" i="321"/>
  <c r="I137" i="321"/>
  <c r="J136" i="321"/>
  <c r="I136" i="321"/>
  <c r="K136" i="321" s="1"/>
  <c r="J135" i="321"/>
  <c r="I135" i="321"/>
  <c r="J134" i="321"/>
  <c r="I134" i="321"/>
  <c r="J133" i="321"/>
  <c r="I133" i="321"/>
  <c r="J132" i="321"/>
  <c r="I132" i="321"/>
  <c r="K131" i="321"/>
  <c r="J131" i="321"/>
  <c r="I131" i="321"/>
  <c r="J130" i="321"/>
  <c r="I130" i="321"/>
  <c r="J129" i="321"/>
  <c r="I129" i="321"/>
  <c r="J128" i="321"/>
  <c r="I128" i="321"/>
  <c r="I125" i="321"/>
  <c r="I124" i="321"/>
  <c r="J124" i="321" s="1"/>
  <c r="J123" i="321"/>
  <c r="J149" i="321" s="1"/>
  <c r="I123" i="321"/>
  <c r="J122" i="321"/>
  <c r="I122" i="321"/>
  <c r="I121" i="321"/>
  <c r="J121" i="321" s="1"/>
  <c r="I119" i="321"/>
  <c r="J118" i="321"/>
  <c r="J144" i="321" s="1"/>
  <c r="I118" i="321"/>
  <c r="I144" i="321" s="1"/>
  <c r="I117" i="321"/>
  <c r="J117" i="321" s="1"/>
  <c r="I116" i="321"/>
  <c r="AC115" i="321"/>
  <c r="J115" i="321"/>
  <c r="B115" i="321"/>
  <c r="I111" i="321"/>
  <c r="P106" i="321"/>
  <c r="R105" i="321"/>
  <c r="P105" i="321"/>
  <c r="M105" i="321"/>
  <c r="J105" i="321"/>
  <c r="B105" i="321"/>
  <c r="U103" i="321"/>
  <c r="T103" i="321"/>
  <c r="S103" i="321"/>
  <c r="Q103" i="321"/>
  <c r="K103" i="321"/>
  <c r="U102" i="321"/>
  <c r="T102" i="321"/>
  <c r="S102" i="321"/>
  <c r="Q102" i="321"/>
  <c r="K102" i="321"/>
  <c r="U101" i="321"/>
  <c r="T101" i="321"/>
  <c r="S101" i="321"/>
  <c r="Q101" i="321"/>
  <c r="K101" i="321"/>
  <c r="U100" i="321"/>
  <c r="T100" i="321"/>
  <c r="S100" i="321"/>
  <c r="Q100" i="321"/>
  <c r="K100" i="321"/>
  <c r="U99" i="321"/>
  <c r="T99" i="321"/>
  <c r="S99" i="321"/>
  <c r="Q99" i="321"/>
  <c r="K99" i="321"/>
  <c r="U98" i="321"/>
  <c r="T98" i="321"/>
  <c r="S98" i="321"/>
  <c r="Q98" i="321"/>
  <c r="K98" i="321"/>
  <c r="U97" i="321"/>
  <c r="T97" i="321"/>
  <c r="S97" i="321"/>
  <c r="Q97" i="321"/>
  <c r="K97" i="321"/>
  <c r="U96" i="321"/>
  <c r="T96" i="321"/>
  <c r="S96" i="321"/>
  <c r="Q96" i="321"/>
  <c r="K96" i="321"/>
  <c r="U95" i="321"/>
  <c r="T95" i="321"/>
  <c r="S95" i="321"/>
  <c r="Q95" i="321"/>
  <c r="K95" i="321"/>
  <c r="U94" i="321"/>
  <c r="T94" i="321"/>
  <c r="S94" i="321"/>
  <c r="Q94" i="321"/>
  <c r="K94" i="321"/>
  <c r="U93" i="321"/>
  <c r="T93" i="321"/>
  <c r="S93" i="321"/>
  <c r="Q93" i="321"/>
  <c r="K93" i="321"/>
  <c r="AA92" i="321"/>
  <c r="U92" i="321"/>
  <c r="T92" i="321"/>
  <c r="S92" i="321"/>
  <c r="Q92" i="321"/>
  <c r="K92" i="321"/>
  <c r="U91" i="321"/>
  <c r="T91" i="321"/>
  <c r="S91" i="321"/>
  <c r="Q91" i="321"/>
  <c r="K91" i="321"/>
  <c r="U90" i="321"/>
  <c r="T90" i="321"/>
  <c r="S90" i="321"/>
  <c r="Q90" i="321"/>
  <c r="K90" i="321"/>
  <c r="U89" i="321"/>
  <c r="T89" i="321"/>
  <c r="S89" i="321"/>
  <c r="Q89" i="321"/>
  <c r="K89" i="321"/>
  <c r="U88" i="321"/>
  <c r="T88" i="321"/>
  <c r="S88" i="321"/>
  <c r="Q88" i="321"/>
  <c r="K88" i="321"/>
  <c r="AE87" i="321"/>
  <c r="AF86" i="321" s="1"/>
  <c r="AG86" i="321" s="1"/>
  <c r="AH86" i="321" s="1"/>
  <c r="AH87" i="321" s="1"/>
  <c r="AH88" i="321" s="1"/>
  <c r="AA87" i="321"/>
  <c r="Y87" i="321"/>
  <c r="U87" i="321"/>
  <c r="T87" i="321"/>
  <c r="S87" i="321"/>
  <c r="Q87" i="321"/>
  <c r="K87" i="321"/>
  <c r="U86" i="321"/>
  <c r="T86" i="321"/>
  <c r="S86" i="321"/>
  <c r="Q86" i="321"/>
  <c r="K86" i="321"/>
  <c r="U85" i="321"/>
  <c r="T85" i="321"/>
  <c r="S85" i="321"/>
  <c r="Q85" i="321"/>
  <c r="K85" i="321"/>
  <c r="U84" i="321"/>
  <c r="T84" i="321"/>
  <c r="S84" i="321"/>
  <c r="Q84" i="321"/>
  <c r="K84" i="321"/>
  <c r="U83" i="321"/>
  <c r="T83" i="321"/>
  <c r="S83" i="321"/>
  <c r="Q83" i="321"/>
  <c r="K83" i="321"/>
  <c r="U82" i="321"/>
  <c r="T82" i="321"/>
  <c r="S82" i="321"/>
  <c r="Q82" i="321"/>
  <c r="K82" i="321"/>
  <c r="AA81" i="321"/>
  <c r="AA86" i="321" s="1"/>
  <c r="AB86" i="321" s="1"/>
  <c r="AC86" i="321" s="1"/>
  <c r="AD86" i="321" s="1"/>
  <c r="AD87" i="321" s="1"/>
  <c r="AD88" i="321" s="1"/>
  <c r="Z81" i="321"/>
  <c r="U81" i="321"/>
  <c r="T81" i="321"/>
  <c r="S81" i="321"/>
  <c r="Q81" i="321"/>
  <c r="K81" i="321"/>
  <c r="AI80" i="321"/>
  <c r="U80" i="321"/>
  <c r="T80" i="321"/>
  <c r="S80" i="321"/>
  <c r="Q80" i="321"/>
  <c r="K80" i="321"/>
  <c r="AI79" i="321"/>
  <c r="AA79" i="321"/>
  <c r="U79" i="321"/>
  <c r="T79" i="321"/>
  <c r="S79" i="321"/>
  <c r="Q79" i="321"/>
  <c r="K79" i="321"/>
  <c r="AI78" i="321"/>
  <c r="U78" i="321"/>
  <c r="T78" i="321"/>
  <c r="S78" i="321"/>
  <c r="Q78" i="321"/>
  <c r="K78" i="321"/>
  <c r="U77" i="321"/>
  <c r="T77" i="321"/>
  <c r="S77" i="321"/>
  <c r="Q77" i="321"/>
  <c r="K77" i="321"/>
  <c r="U76" i="321"/>
  <c r="T76" i="321"/>
  <c r="S76" i="321"/>
  <c r="Q76" i="321"/>
  <c r="K76" i="321"/>
  <c r="U75" i="321"/>
  <c r="T75" i="321"/>
  <c r="S75" i="321"/>
  <c r="Q75" i="321"/>
  <c r="K75" i="321"/>
  <c r="U74" i="321"/>
  <c r="T74" i="321"/>
  <c r="S74" i="321"/>
  <c r="Q74" i="321"/>
  <c r="K74" i="321"/>
  <c r="AP73" i="321"/>
  <c r="AQ73" i="321" s="1"/>
  <c r="AD73" i="321"/>
  <c r="AM72" i="321" s="1"/>
  <c r="AN73" i="321" s="1"/>
  <c r="Z73" i="321"/>
  <c r="U73" i="321"/>
  <c r="T73" i="321"/>
  <c r="S73" i="321"/>
  <c r="Q73" i="321"/>
  <c r="K73" i="321"/>
  <c r="Z72" i="321"/>
  <c r="U72" i="321"/>
  <c r="T72" i="321"/>
  <c r="S72" i="321"/>
  <c r="Q72" i="321"/>
  <c r="K72" i="321"/>
  <c r="U71" i="321"/>
  <c r="T71" i="321"/>
  <c r="S71" i="321"/>
  <c r="Q71" i="321"/>
  <c r="K71" i="321"/>
  <c r="U70" i="321"/>
  <c r="T70" i="321"/>
  <c r="S70" i="321"/>
  <c r="Q70" i="321"/>
  <c r="K70" i="321"/>
  <c r="U69" i="321"/>
  <c r="T69" i="321"/>
  <c r="S69" i="321"/>
  <c r="Q69" i="321"/>
  <c r="K69" i="321"/>
  <c r="U68" i="321"/>
  <c r="T68" i="321"/>
  <c r="S68" i="321"/>
  <c r="Q68" i="321"/>
  <c r="K68" i="321"/>
  <c r="AL67" i="321"/>
  <c r="AA67" i="321"/>
  <c r="U67" i="321"/>
  <c r="T67" i="321"/>
  <c r="S67" i="321"/>
  <c r="Q67" i="321"/>
  <c r="K67" i="321"/>
  <c r="AF66" i="321"/>
  <c r="U66" i="321"/>
  <c r="T66" i="321"/>
  <c r="S66" i="321"/>
  <c r="Q66" i="321"/>
  <c r="K66" i="321"/>
  <c r="AF65" i="321"/>
  <c r="U65" i="321"/>
  <c r="T65" i="321"/>
  <c r="S65" i="321"/>
  <c r="Q65" i="321"/>
  <c r="K65" i="321"/>
  <c r="AL64" i="321"/>
  <c r="U64" i="321"/>
  <c r="T64" i="321"/>
  <c r="S64" i="321"/>
  <c r="Q64" i="321"/>
  <c r="K64" i="321"/>
  <c r="U63" i="321"/>
  <c r="T63" i="321"/>
  <c r="S63" i="321"/>
  <c r="Q63" i="321"/>
  <c r="K63" i="321"/>
  <c r="AC62" i="321"/>
  <c r="U62" i="321"/>
  <c r="T62" i="321"/>
  <c r="S62" i="321"/>
  <c r="Q62" i="321"/>
  <c r="K62" i="321"/>
  <c r="AE61" i="321"/>
  <c r="U61" i="321"/>
  <c r="T61" i="321"/>
  <c r="S61" i="321"/>
  <c r="Q61" i="321"/>
  <c r="K61" i="321"/>
  <c r="AL60" i="321"/>
  <c r="U60" i="321"/>
  <c r="T60" i="321"/>
  <c r="S60" i="321"/>
  <c r="Q60" i="321"/>
  <c r="K60" i="321"/>
  <c r="AH59" i="321"/>
  <c r="AG59" i="321"/>
  <c r="AI59" i="321" s="1"/>
  <c r="AE59" i="321"/>
  <c r="AB59" i="321"/>
  <c r="AA59" i="321"/>
  <c r="AC79" i="321" s="1"/>
  <c r="U59" i="321"/>
  <c r="T59" i="321"/>
  <c r="S59" i="321"/>
  <c r="Q59" i="321"/>
  <c r="K59" i="321"/>
  <c r="AB58" i="321"/>
  <c r="AA58" i="321"/>
  <c r="U58" i="321"/>
  <c r="T58" i="321"/>
  <c r="S58" i="321"/>
  <c r="Q58" i="321"/>
  <c r="K58" i="321"/>
  <c r="U57" i="321"/>
  <c r="T57" i="321"/>
  <c r="S57" i="321"/>
  <c r="Q57" i="321"/>
  <c r="K57" i="321"/>
  <c r="U56" i="321"/>
  <c r="T56" i="321"/>
  <c r="S56" i="321"/>
  <c r="Q56" i="321"/>
  <c r="K56" i="321"/>
  <c r="AL55" i="321"/>
  <c r="Y55" i="321"/>
  <c r="U55" i="321"/>
  <c r="S55" i="321"/>
  <c r="Q55" i="321"/>
  <c r="T55" i="321" s="1"/>
  <c r="K55" i="321"/>
  <c r="U54" i="321"/>
  <c r="T54" i="321"/>
  <c r="S54" i="321"/>
  <c r="Q54" i="321"/>
  <c r="K54" i="321"/>
  <c r="AM53" i="321"/>
  <c r="AM55" i="321" s="1"/>
  <c r="Y53" i="321"/>
  <c r="U53" i="321"/>
  <c r="T53" i="321"/>
  <c r="Q53" i="321"/>
  <c r="S53" i="321" s="1"/>
  <c r="K53" i="321"/>
  <c r="U52" i="321"/>
  <c r="T52" i="321"/>
  <c r="S52" i="321"/>
  <c r="Q52" i="321"/>
  <c r="K52" i="321"/>
  <c r="Y51" i="321"/>
  <c r="U51" i="321"/>
  <c r="T51" i="321"/>
  <c r="S51" i="321"/>
  <c r="K51" i="321"/>
  <c r="AB50" i="321"/>
  <c r="U50" i="321"/>
  <c r="T50" i="321"/>
  <c r="S50" i="321"/>
  <c r="Q50" i="321"/>
  <c r="K50" i="321"/>
  <c r="Y49" i="321"/>
  <c r="Z49" i="321" s="1"/>
  <c r="U49" i="321"/>
  <c r="T49" i="321"/>
  <c r="S49" i="321"/>
  <c r="Q49" i="321"/>
  <c r="K49" i="321"/>
  <c r="Y48" i="321"/>
  <c r="Z48" i="321" s="1"/>
  <c r="U48" i="321"/>
  <c r="T48" i="321"/>
  <c r="S48" i="321"/>
  <c r="Q48" i="321"/>
  <c r="K48" i="321"/>
  <c r="U47" i="321"/>
  <c r="T47" i="321"/>
  <c r="S47" i="321"/>
  <c r="Q47" i="321"/>
  <c r="K47" i="321"/>
  <c r="AF46" i="321"/>
  <c r="U46" i="321"/>
  <c r="T46" i="321"/>
  <c r="Q46" i="321"/>
  <c r="S46" i="321" s="1"/>
  <c r="K46" i="321"/>
  <c r="AB45" i="321"/>
  <c r="AA45" i="321"/>
  <c r="U45" i="321"/>
  <c r="T45" i="321"/>
  <c r="S45" i="321"/>
  <c r="Q45" i="321"/>
  <c r="K45" i="321"/>
  <c r="AE44" i="321"/>
  <c r="AE46" i="321" s="1"/>
  <c r="AB44" i="321"/>
  <c r="AA44" i="321"/>
  <c r="U44" i="321"/>
  <c r="T44" i="321"/>
  <c r="S44" i="321"/>
  <c r="Q44" i="321"/>
  <c r="K44" i="321"/>
  <c r="AB43" i="321"/>
  <c r="AA43" i="321"/>
  <c r="U43" i="321"/>
  <c r="T43" i="321"/>
  <c r="S43" i="321"/>
  <c r="Q43" i="321"/>
  <c r="K43" i="321"/>
  <c r="AB42" i="321"/>
  <c r="U42" i="321"/>
  <c r="T42" i="321"/>
  <c r="S42" i="321"/>
  <c r="Q42" i="321"/>
  <c r="K42" i="321"/>
  <c r="U41" i="321"/>
  <c r="T41" i="321"/>
  <c r="S41" i="321"/>
  <c r="Q41" i="321"/>
  <c r="K41" i="321"/>
  <c r="U40" i="321"/>
  <c r="T40" i="321"/>
  <c r="S40" i="321"/>
  <c r="K40" i="321"/>
  <c r="AH39" i="321"/>
  <c r="U39" i="321"/>
  <c r="T39" i="321"/>
  <c r="S39" i="321"/>
  <c r="Q39" i="321"/>
  <c r="K39" i="321"/>
  <c r="U38" i="321"/>
  <c r="T38" i="321"/>
  <c r="S38" i="321"/>
  <c r="Q38" i="321"/>
  <c r="K38" i="321"/>
  <c r="U37" i="321"/>
  <c r="T37" i="321"/>
  <c r="S37" i="321"/>
  <c r="Q37" i="321"/>
  <c r="K37" i="321"/>
  <c r="Z36" i="321"/>
  <c r="U36" i="321"/>
  <c r="T36" i="321"/>
  <c r="S36" i="321"/>
  <c r="Q36" i="321"/>
  <c r="K36" i="321"/>
  <c r="Z35" i="321"/>
  <c r="U35" i="321"/>
  <c r="T35" i="321"/>
  <c r="S35" i="321"/>
  <c r="Q35" i="321"/>
  <c r="K35" i="321"/>
  <c r="AI34" i="321"/>
  <c r="AH34" i="321"/>
  <c r="AC34" i="321"/>
  <c r="AC35" i="321" s="1"/>
  <c r="U34" i="321"/>
  <c r="T34" i="321"/>
  <c r="S34" i="321"/>
  <c r="Q34" i="321"/>
  <c r="K34" i="321"/>
  <c r="U33" i="321"/>
  <c r="T33" i="321"/>
  <c r="S33" i="321"/>
  <c r="Q33" i="321"/>
  <c r="K33" i="321"/>
  <c r="U32" i="321"/>
  <c r="T32" i="321"/>
  <c r="S32" i="321"/>
  <c r="Q32" i="321"/>
  <c r="K32" i="321"/>
  <c r="U31" i="321"/>
  <c r="T31" i="321"/>
  <c r="S31" i="321"/>
  <c r="Q31" i="321"/>
  <c r="K31" i="321"/>
  <c r="Z30" i="321"/>
  <c r="Z10" i="321" s="1"/>
  <c r="AA10" i="321" s="1"/>
  <c r="U30" i="321"/>
  <c r="T30" i="321"/>
  <c r="S30" i="321"/>
  <c r="Q30" i="321"/>
  <c r="K30" i="321"/>
  <c r="U29" i="321"/>
  <c r="T29" i="321"/>
  <c r="S29" i="321"/>
  <c r="Q29" i="321"/>
  <c r="K29" i="321"/>
  <c r="AA28" i="321"/>
  <c r="U28" i="321"/>
  <c r="T28" i="321"/>
  <c r="S28" i="321"/>
  <c r="Q28" i="321"/>
  <c r="K28" i="321"/>
  <c r="AC27" i="321"/>
  <c r="AA27" i="321"/>
  <c r="U27" i="321"/>
  <c r="T27" i="321"/>
  <c r="S27" i="321"/>
  <c r="Q27" i="321"/>
  <c r="K27" i="321"/>
  <c r="AC26" i="321"/>
  <c r="T26" i="321"/>
  <c r="S26" i="321"/>
  <c r="Q26" i="321"/>
  <c r="U26" i="321" s="1"/>
  <c r="K26" i="321"/>
  <c r="AE25" i="321"/>
  <c r="U25" i="321"/>
  <c r="T25" i="321"/>
  <c r="Q25" i="321"/>
  <c r="S25" i="321" s="1"/>
  <c r="K25" i="321"/>
  <c r="U24" i="321"/>
  <c r="T24" i="321"/>
  <c r="S24" i="321"/>
  <c r="Q24" i="321"/>
  <c r="K24" i="321"/>
  <c r="U23" i="321"/>
  <c r="T23" i="321"/>
  <c r="S23" i="321"/>
  <c r="Q23" i="321"/>
  <c r="K23" i="321"/>
  <c r="U22" i="321"/>
  <c r="Q22" i="321"/>
  <c r="S22" i="321" s="1"/>
  <c r="K22" i="321"/>
  <c r="U21" i="321"/>
  <c r="T21" i="321"/>
  <c r="Q21" i="321"/>
  <c r="S21" i="321" s="1"/>
  <c r="K21" i="321"/>
  <c r="U20" i="321"/>
  <c r="T20" i="321"/>
  <c r="Q20" i="321"/>
  <c r="S20" i="321" s="1"/>
  <c r="K20" i="321"/>
  <c r="U19" i="321"/>
  <c r="T19" i="321"/>
  <c r="S19" i="321"/>
  <c r="Q19" i="321"/>
  <c r="K19" i="321"/>
  <c r="U18" i="321"/>
  <c r="S18" i="321"/>
  <c r="Q18" i="321"/>
  <c r="T18" i="321" s="1"/>
  <c r="K18" i="321"/>
  <c r="U17" i="321"/>
  <c r="Q17" i="321"/>
  <c r="S17" i="321" s="1"/>
  <c r="K17" i="321"/>
  <c r="U16" i="321"/>
  <c r="T16" i="321"/>
  <c r="S16" i="321"/>
  <c r="K16" i="321"/>
  <c r="Z15" i="321"/>
  <c r="U15" i="321"/>
  <c r="T15" i="321"/>
  <c r="Q15" i="321"/>
  <c r="S15" i="321" s="1"/>
  <c r="K15" i="321"/>
  <c r="U14" i="321"/>
  <c r="T14" i="321"/>
  <c r="Q14" i="321"/>
  <c r="S14" i="321" s="1"/>
  <c r="K14" i="321"/>
  <c r="U13" i="321"/>
  <c r="Q13" i="321"/>
  <c r="S13" i="321" s="1"/>
  <c r="K13" i="321"/>
  <c r="AC12" i="321"/>
  <c r="AB12" i="321"/>
  <c r="AA12" i="321"/>
  <c r="U12" i="321"/>
  <c r="Q12" i="321"/>
  <c r="S12" i="321" s="1"/>
  <c r="K12" i="321"/>
  <c r="AT19" i="321" s="1"/>
  <c r="AU19" i="321" s="1"/>
  <c r="AH11" i="321"/>
  <c r="AE11" i="321"/>
  <c r="AA11" i="321"/>
  <c r="U11" i="321"/>
  <c r="T11" i="321"/>
  <c r="Q11" i="321"/>
  <c r="S11" i="321" s="1"/>
  <c r="K11" i="321"/>
  <c r="AH10" i="321"/>
  <c r="AE10" i="321"/>
  <c r="AB10" i="321"/>
  <c r="U10" i="321"/>
  <c r="T10" i="321"/>
  <c r="Q10" i="321"/>
  <c r="S10" i="321" s="1"/>
  <c r="K10" i="321"/>
  <c r="AA9" i="321"/>
  <c r="U9" i="321"/>
  <c r="Q9" i="321"/>
  <c r="T9" i="321" s="1"/>
  <c r="K9" i="321"/>
  <c r="U8" i="321"/>
  <c r="T8" i="321"/>
  <c r="Q8" i="321"/>
  <c r="S8" i="321" s="1"/>
  <c r="K8" i="321"/>
  <c r="Z7" i="321"/>
  <c r="U7" i="321"/>
  <c r="Q7" i="321"/>
  <c r="T7" i="321" s="1"/>
  <c r="K7" i="321"/>
  <c r="Z6" i="321"/>
  <c r="U6" i="321"/>
  <c r="T6" i="321"/>
  <c r="Q6" i="321"/>
  <c r="S6" i="321" s="1"/>
  <c r="K6" i="321"/>
  <c r="AM5" i="321"/>
  <c r="AM6" i="321" s="1"/>
  <c r="AM8" i="321" s="1"/>
  <c r="AL5" i="321"/>
  <c r="AL6" i="321" s="1"/>
  <c r="AL8" i="321" s="1"/>
  <c r="AK5" i="321"/>
  <c r="AK6" i="321" s="1"/>
  <c r="AK8" i="321" s="1"/>
  <c r="AJ5" i="321"/>
  <c r="AJ6" i="321" s="1"/>
  <c r="AJ8" i="321" s="1"/>
  <c r="U5" i="321"/>
  <c r="S5" i="321"/>
  <c r="Q5" i="321"/>
  <c r="T5" i="321" s="1"/>
  <c r="K5" i="321"/>
  <c r="U4" i="321"/>
  <c r="S4" i="321"/>
  <c r="Q4" i="321"/>
  <c r="T4" i="321" s="1"/>
  <c r="K4" i="321"/>
  <c r="AO3" i="321"/>
  <c r="U3" i="321"/>
  <c r="S3" i="321"/>
  <c r="Q3" i="321"/>
  <c r="T3" i="321" s="1"/>
  <c r="K3" i="321"/>
  <c r="U2" i="321"/>
  <c r="T2" i="321"/>
  <c r="Q2" i="321"/>
  <c r="K2" i="321"/>
  <c r="X16" i="333" l="1"/>
  <c r="W17" i="333"/>
  <c r="X13" i="332"/>
  <c r="W14" i="332"/>
  <c r="W14" i="331"/>
  <c r="X13" i="331"/>
  <c r="W12" i="330"/>
  <c r="X11" i="330"/>
  <c r="X10" i="329"/>
  <c r="W11" i="329"/>
  <c r="X8" i="328"/>
  <c r="W9" i="328"/>
  <c r="X10" i="327"/>
  <c r="W11" i="327"/>
  <c r="AF78" i="325"/>
  <c r="AF81" i="325" s="1"/>
  <c r="AF80" i="326"/>
  <c r="AF81" i="326" s="1"/>
  <c r="W7" i="326"/>
  <c r="X6" i="326"/>
  <c r="AE81" i="326"/>
  <c r="AK77" i="326"/>
  <c r="AD81" i="326"/>
  <c r="AE35" i="323"/>
  <c r="AE37" i="323" s="1"/>
  <c r="AK78" i="325"/>
  <c r="AL79" i="325" s="1"/>
  <c r="AL75" i="325"/>
  <c r="AL78" i="325" s="1"/>
  <c r="W7" i="325"/>
  <c r="X6" i="325"/>
  <c r="V105" i="323"/>
  <c r="K152" i="323"/>
  <c r="T107" i="323"/>
  <c r="AB4" i="322"/>
  <c r="AB5" i="322" s="1"/>
  <c r="K120" i="322"/>
  <c r="K146" i="322" s="1"/>
  <c r="K152" i="322" s="1"/>
  <c r="O9" i="323"/>
  <c r="O8" i="323"/>
  <c r="O6" i="323"/>
  <c r="O5" i="323"/>
  <c r="O4" i="323"/>
  <c r="N105" i="323"/>
  <c r="O27" i="323"/>
  <c r="O2" i="323"/>
  <c r="O28" i="323"/>
  <c r="O29" i="323"/>
  <c r="O22" i="323"/>
  <c r="O13" i="323"/>
  <c r="O10" i="323"/>
  <c r="O26" i="323"/>
  <c r="O24" i="323"/>
  <c r="O25" i="323"/>
  <c r="O17" i="323"/>
  <c r="O15" i="323"/>
  <c r="O14" i="323"/>
  <c r="O12" i="323"/>
  <c r="O3" i="323"/>
  <c r="O11" i="323"/>
  <c r="O19" i="323"/>
  <c r="O16" i="323"/>
  <c r="O20" i="323"/>
  <c r="Z4" i="323"/>
  <c r="Z3" i="323"/>
  <c r="AA5" i="323"/>
  <c r="AB35" i="323"/>
  <c r="Z58" i="323"/>
  <c r="AB5" i="323"/>
  <c r="S107" i="323"/>
  <c r="AC4" i="323"/>
  <c r="AG4" i="323" s="1"/>
  <c r="W3" i="323"/>
  <c r="O7" i="323"/>
  <c r="L2" i="323"/>
  <c r="L3" i="323" s="1"/>
  <c r="L4" i="323" s="1"/>
  <c r="L5" i="323" s="1"/>
  <c r="L6" i="323" s="1"/>
  <c r="L7" i="323" s="1"/>
  <c r="L8" i="323" s="1"/>
  <c r="L9" i="323" s="1"/>
  <c r="L10" i="323" s="1"/>
  <c r="L11" i="323" s="1"/>
  <c r="L12" i="323" s="1"/>
  <c r="L13" i="323" s="1"/>
  <c r="L14" i="323" s="1"/>
  <c r="L15" i="323" s="1"/>
  <c r="L16" i="323" s="1"/>
  <c r="L17" i="323" s="1"/>
  <c r="L18" i="323" s="1"/>
  <c r="L19" i="323" s="1"/>
  <c r="L20" i="323" s="1"/>
  <c r="L21" i="323" s="1"/>
  <c r="L22" i="323" s="1"/>
  <c r="L23" i="323" s="1"/>
  <c r="L24" i="323" s="1"/>
  <c r="L25" i="323" s="1"/>
  <c r="L26" i="323" s="1"/>
  <c r="L27" i="323" s="1"/>
  <c r="L28" i="323" s="1"/>
  <c r="L29" i="323" s="1"/>
  <c r="L30" i="323" s="1"/>
  <c r="L31" i="323" s="1"/>
  <c r="L32" i="323" s="1"/>
  <c r="L33" i="323" s="1"/>
  <c r="L34" i="323" s="1"/>
  <c r="L35" i="323" s="1"/>
  <c r="L36" i="323" s="1"/>
  <c r="L37" i="323" s="1"/>
  <c r="L38" i="323" s="1"/>
  <c r="L39" i="323" s="1"/>
  <c r="L40" i="323" s="1"/>
  <c r="L41" i="323" s="1"/>
  <c r="L42" i="323" s="1"/>
  <c r="L43" i="323" s="1"/>
  <c r="L44" i="323" s="1"/>
  <c r="L45" i="323" s="1"/>
  <c r="L46" i="323" s="1"/>
  <c r="L47" i="323" s="1"/>
  <c r="L48" i="323" s="1"/>
  <c r="L49" i="323" s="1"/>
  <c r="L50" i="323" s="1"/>
  <c r="L51" i="323" s="1"/>
  <c r="L52" i="323" s="1"/>
  <c r="L53" i="323" s="1"/>
  <c r="L54" i="323" s="1"/>
  <c r="L55" i="323" s="1"/>
  <c r="L56" i="323" s="1"/>
  <c r="L57" i="323" s="1"/>
  <c r="L58" i="323" s="1"/>
  <c r="L59" i="323" s="1"/>
  <c r="L60" i="323" s="1"/>
  <c r="L61" i="323" s="1"/>
  <c r="L62" i="323" s="1"/>
  <c r="L63" i="323" s="1"/>
  <c r="L64" i="323" s="1"/>
  <c r="L65" i="323" s="1"/>
  <c r="L66" i="323" s="1"/>
  <c r="L67" i="323" s="1"/>
  <c r="L68" i="323" s="1"/>
  <c r="L69" i="323" s="1"/>
  <c r="L70" i="323" s="1"/>
  <c r="L71" i="323" s="1"/>
  <c r="L72" i="323" s="1"/>
  <c r="L73" i="323" s="1"/>
  <c r="L74" i="323" s="1"/>
  <c r="L75" i="323" s="1"/>
  <c r="L76" i="323" s="1"/>
  <c r="L77" i="323" s="1"/>
  <c r="L78" i="323" s="1"/>
  <c r="L79" i="323" s="1"/>
  <c r="L80" i="323" s="1"/>
  <c r="L81" i="323" s="1"/>
  <c r="L82" i="323" s="1"/>
  <c r="L83" i="323" s="1"/>
  <c r="L84" i="323" s="1"/>
  <c r="L85" i="323" s="1"/>
  <c r="L86" i="323" s="1"/>
  <c r="L87" i="323" s="1"/>
  <c r="L88" i="323" s="1"/>
  <c r="L89" i="323" s="1"/>
  <c r="L90" i="323" s="1"/>
  <c r="L91" i="323" s="1"/>
  <c r="L92" i="323" s="1"/>
  <c r="L93" i="323" s="1"/>
  <c r="L94" i="323" s="1"/>
  <c r="L95" i="323" s="1"/>
  <c r="L96" i="323" s="1"/>
  <c r="L97" i="323" s="1"/>
  <c r="L98" i="323" s="1"/>
  <c r="L99" i="323" s="1"/>
  <c r="L100" i="323" s="1"/>
  <c r="L101" i="323" s="1"/>
  <c r="L102" i="323" s="1"/>
  <c r="L103" i="323" s="1"/>
  <c r="L105" i="323" s="1"/>
  <c r="AB80" i="323"/>
  <c r="Z53" i="323"/>
  <c r="O29" i="322"/>
  <c r="O28" i="322"/>
  <c r="O26" i="322"/>
  <c r="O16" i="322"/>
  <c r="O13" i="322"/>
  <c r="O12" i="322"/>
  <c r="O11" i="322"/>
  <c r="N105" i="322"/>
  <c r="O25" i="322"/>
  <c r="O9" i="322"/>
  <c r="O20" i="322"/>
  <c r="O22" i="322"/>
  <c r="O3" i="322"/>
  <c r="O27" i="322"/>
  <c r="O8" i="322"/>
  <c r="O5" i="322"/>
  <c r="O6" i="322"/>
  <c r="O2" i="322"/>
  <c r="O24" i="322"/>
  <c r="O14" i="322"/>
  <c r="O19" i="322"/>
  <c r="O10" i="322"/>
  <c r="O17" i="322"/>
  <c r="O4" i="322"/>
  <c r="O15" i="322"/>
  <c r="Z18" i="322"/>
  <c r="Z24" i="322" s="1"/>
  <c r="W2" i="322" s="1"/>
  <c r="Z13" i="322"/>
  <c r="AA4" i="322"/>
  <c r="AA3" i="322"/>
  <c r="AD3" i="322" s="1"/>
  <c r="AB35" i="322"/>
  <c r="O7" i="322"/>
  <c r="S107" i="322"/>
  <c r="AC4" i="322"/>
  <c r="AB80" i="322"/>
  <c r="Z53" i="322"/>
  <c r="AD37" i="322"/>
  <c r="AE35" i="322"/>
  <c r="AE37" i="322" s="1"/>
  <c r="AT17" i="321"/>
  <c r="AU17" i="321" s="1"/>
  <c r="Z16" i="321"/>
  <c r="AA16" i="321" s="1"/>
  <c r="AT18" i="321"/>
  <c r="AU18" i="321" s="1"/>
  <c r="J141" i="321"/>
  <c r="V69" i="321"/>
  <c r="V72" i="321"/>
  <c r="AT22" i="321"/>
  <c r="AU22" i="321" s="1"/>
  <c r="AT13" i="321"/>
  <c r="AU13" i="321" s="1"/>
  <c r="N94" i="321"/>
  <c r="O102" i="321" s="1"/>
  <c r="K135" i="321"/>
  <c r="AD34" i="321"/>
  <c r="AD35" i="321" s="1"/>
  <c r="Z37" i="321"/>
  <c r="V93" i="321"/>
  <c r="AC36" i="321"/>
  <c r="AC37" i="321" s="1"/>
  <c r="AH12" i="321"/>
  <c r="V76" i="321"/>
  <c r="V80" i="321"/>
  <c r="I148" i="321"/>
  <c r="V50" i="321"/>
  <c r="V54" i="321"/>
  <c r="V78" i="321"/>
  <c r="V87" i="321"/>
  <c r="V88" i="321"/>
  <c r="K134" i="321"/>
  <c r="V16" i="321"/>
  <c r="V62" i="321"/>
  <c r="V68" i="321"/>
  <c r="V70" i="321"/>
  <c r="V75" i="321"/>
  <c r="V77" i="321"/>
  <c r="V84" i="321"/>
  <c r="X84" i="321" s="1"/>
  <c r="V95" i="321"/>
  <c r="V99" i="321"/>
  <c r="V103" i="321"/>
  <c r="K133" i="321"/>
  <c r="V31" i="321"/>
  <c r="AC43" i="321"/>
  <c r="AB62" i="321"/>
  <c r="V61" i="321"/>
  <c r="K130" i="321"/>
  <c r="AN74" i="321"/>
  <c r="AO73" i="321"/>
  <c r="AT12" i="321"/>
  <c r="AU12" i="321" s="1"/>
  <c r="V57" i="321"/>
  <c r="AB61" i="321"/>
  <c r="J110" i="321"/>
  <c r="J109" i="321"/>
  <c r="J108" i="321"/>
  <c r="I142" i="321"/>
  <c r="K118" i="321"/>
  <c r="K144" i="321" s="1"/>
  <c r="AA15" i="321"/>
  <c r="V40" i="321"/>
  <c r="V42" i="321"/>
  <c r="V43" i="321"/>
  <c r="V47" i="321"/>
  <c r="V59" i="321"/>
  <c r="V79" i="321"/>
  <c r="N81" i="321"/>
  <c r="O82" i="321" s="1"/>
  <c r="V81" i="321"/>
  <c r="V90" i="321"/>
  <c r="V92" i="321"/>
  <c r="K128" i="321"/>
  <c r="AC44" i="321"/>
  <c r="V82" i="321"/>
  <c r="V33" i="321"/>
  <c r="V37" i="321"/>
  <c r="V48" i="321"/>
  <c r="V64" i="321"/>
  <c r="V65" i="321"/>
  <c r="V66" i="321"/>
  <c r="V67" i="321"/>
  <c r="V89" i="321"/>
  <c r="V94" i="321"/>
  <c r="V96" i="321"/>
  <c r="V98" i="321"/>
  <c r="V100" i="321"/>
  <c r="V102" i="321"/>
  <c r="K132" i="321"/>
  <c r="T13" i="321"/>
  <c r="V13" i="321" s="1"/>
  <c r="T12" i="321"/>
  <c r="T22" i="321"/>
  <c r="V22" i="321" s="1"/>
  <c r="I143" i="321"/>
  <c r="K122" i="321"/>
  <c r="V26" i="321"/>
  <c r="K121" i="321"/>
  <c r="J147" i="321"/>
  <c r="I147" i="321"/>
  <c r="V51" i="321"/>
  <c r="V107" i="321" s="1"/>
  <c r="V109" i="321" s="1"/>
  <c r="V39" i="321"/>
  <c r="V45" i="321"/>
  <c r="V30" i="321"/>
  <c r="V49" i="321"/>
  <c r="V53" i="321"/>
  <c r="V56" i="321"/>
  <c r="V5" i="321"/>
  <c r="V12" i="321"/>
  <c r="T17" i="321"/>
  <c r="V17" i="321" s="1"/>
  <c r="V24" i="321"/>
  <c r="J148" i="321"/>
  <c r="S7" i="321"/>
  <c r="V7" i="321" s="1"/>
  <c r="V11" i="321"/>
  <c r="V4" i="321"/>
  <c r="V6" i="321"/>
  <c r="V28" i="321"/>
  <c r="V3" i="321"/>
  <c r="V8" i="321"/>
  <c r="V21" i="321"/>
  <c r="V27" i="321"/>
  <c r="AC61" i="321"/>
  <c r="AA68" i="321" s="1"/>
  <c r="AC58" i="321"/>
  <c r="N85" i="321"/>
  <c r="O92" i="321" s="1"/>
  <c r="U105" i="321"/>
  <c r="AD4" i="321" s="1"/>
  <c r="AT7" i="321"/>
  <c r="AU7" i="321" s="1"/>
  <c r="AT16" i="321"/>
  <c r="AU16" i="321" s="1"/>
  <c r="J125" i="321"/>
  <c r="V29" i="321"/>
  <c r="Q105" i="321"/>
  <c r="S2" i="321"/>
  <c r="AT5" i="321"/>
  <c r="AU5" i="321" s="1"/>
  <c r="AT6" i="321"/>
  <c r="AU6" i="321" s="1"/>
  <c r="V10" i="321"/>
  <c r="AT10" i="321"/>
  <c r="AU10" i="321" s="1"/>
  <c r="V14" i="321"/>
  <c r="Z14" i="321"/>
  <c r="V15" i="321"/>
  <c r="V18" i="321"/>
  <c r="V19" i="321"/>
  <c r="V20" i="321"/>
  <c r="AT14" i="321"/>
  <c r="AU14" i="321" s="1"/>
  <c r="V23" i="321"/>
  <c r="V25" i="321"/>
  <c r="N56" i="321"/>
  <c r="O64" i="321" s="1"/>
  <c r="AT8" i="321"/>
  <c r="AU8" i="321" s="1"/>
  <c r="K105" i="321"/>
  <c r="AT4" i="321"/>
  <c r="AU4" i="321" s="1"/>
  <c r="N2" i="321"/>
  <c r="O27" i="321" s="1"/>
  <c r="S9" i="321"/>
  <c r="V9" i="321" s="1"/>
  <c r="AT11" i="321"/>
  <c r="AU11" i="321" s="1"/>
  <c r="AT15" i="321"/>
  <c r="AU15" i="321" s="1"/>
  <c r="AT9" i="321"/>
  <c r="AU9" i="321" s="1"/>
  <c r="AE26" i="321"/>
  <c r="AE27" i="321" s="1"/>
  <c r="AD26" i="321"/>
  <c r="AD27" i="321" s="1"/>
  <c r="N27" i="321"/>
  <c r="O38" i="321" s="1"/>
  <c r="J143" i="321"/>
  <c r="K117" i="321"/>
  <c r="H105" i="321"/>
  <c r="I115" i="321"/>
  <c r="V34" i="321"/>
  <c r="V36" i="321"/>
  <c r="V44" i="321"/>
  <c r="AC45" i="321"/>
  <c r="V58" i="321"/>
  <c r="V60" i="321"/>
  <c r="V86" i="321"/>
  <c r="V97" i="321"/>
  <c r="V101" i="321"/>
  <c r="J150" i="321"/>
  <c r="I120" i="321"/>
  <c r="I105" i="321"/>
  <c r="V32" i="321"/>
  <c r="V35" i="321"/>
  <c r="V38" i="321"/>
  <c r="V41" i="321"/>
  <c r="AA42" i="321"/>
  <c r="AC42" i="321" s="1"/>
  <c r="V46" i="321"/>
  <c r="N50" i="321"/>
  <c r="V52" i="321"/>
  <c r="V55" i="321"/>
  <c r="V91" i="321"/>
  <c r="I150" i="321"/>
  <c r="AC78" i="321"/>
  <c r="V63" i="321"/>
  <c r="V85" i="321"/>
  <c r="I145" i="321"/>
  <c r="J119" i="321"/>
  <c r="J145" i="321" s="1"/>
  <c r="V71" i="321"/>
  <c r="V73" i="321"/>
  <c r="V74" i="321"/>
  <c r="V83" i="321"/>
  <c r="J116" i="321"/>
  <c r="J142" i="321" s="1"/>
  <c r="K123" i="321"/>
  <c r="K149" i="321" s="1"/>
  <c r="I149" i="321"/>
  <c r="K129" i="321"/>
  <c r="K137" i="321"/>
  <c r="K150" i="321" s="1"/>
  <c r="Q167" i="321"/>
  <c r="R167" i="321" s="1"/>
  <c r="I7" i="320"/>
  <c r="H7" i="320"/>
  <c r="I111" i="320"/>
  <c r="J109" i="320" s="1"/>
  <c r="Z9" i="320"/>
  <c r="X17" i="333" l="1"/>
  <c r="W18" i="333"/>
  <c r="W19" i="333" s="1"/>
  <c r="W15" i="332"/>
  <c r="X14" i="332"/>
  <c r="W15" i="331"/>
  <c r="X14" i="331"/>
  <c r="W13" i="330"/>
  <c r="X12" i="330"/>
  <c r="W12" i="329"/>
  <c r="X11" i="329"/>
  <c r="W10" i="328"/>
  <c r="X9" i="328"/>
  <c r="X11" i="327"/>
  <c r="W12" i="327"/>
  <c r="X7" i="326"/>
  <c r="W8" i="326"/>
  <c r="AL77" i="326"/>
  <c r="AL78" i="326" s="1"/>
  <c r="AK78" i="326"/>
  <c r="AL79" i="326" s="1"/>
  <c r="W8" i="325"/>
  <c r="X7" i="325"/>
  <c r="X2" i="323"/>
  <c r="Z58" i="322"/>
  <c r="AD58" i="322" s="1"/>
  <c r="AE4" i="322"/>
  <c r="AF4" i="322" s="1"/>
  <c r="AA60" i="323"/>
  <c r="AA36" i="323"/>
  <c r="AE3" i="323"/>
  <c r="AF3" i="323" s="1"/>
  <c r="AD5" i="323"/>
  <c r="AA34" i="323" s="1"/>
  <c r="AB34" i="323" s="1"/>
  <c r="AF11" i="323"/>
  <c r="AF9" i="323" s="1"/>
  <c r="Z59" i="323"/>
  <c r="Z62" i="323" s="1"/>
  <c r="AC5" i="323"/>
  <c r="AB78" i="323"/>
  <c r="AD58" i="323"/>
  <c r="Z5" i="323"/>
  <c r="W4" i="323"/>
  <c r="X3" i="323"/>
  <c r="AE4" i="323"/>
  <c r="AF4" i="323" s="1"/>
  <c r="AG3" i="323"/>
  <c r="AG5" i="323" s="1"/>
  <c r="AG4" i="322"/>
  <c r="L2" i="322"/>
  <c r="L3" i="322" s="1"/>
  <c r="L4" i="322" s="1"/>
  <c r="L5" i="322" s="1"/>
  <c r="L6" i="322" s="1"/>
  <c r="L7" i="322" s="1"/>
  <c r="L8" i="322" s="1"/>
  <c r="L9" i="322" s="1"/>
  <c r="L10" i="322" s="1"/>
  <c r="L11" i="322" s="1"/>
  <c r="L12" i="322" s="1"/>
  <c r="L13" i="322" s="1"/>
  <c r="L14" i="322" s="1"/>
  <c r="L15" i="322" s="1"/>
  <c r="L16" i="322" s="1"/>
  <c r="L17" i="322" s="1"/>
  <c r="L18" i="322" s="1"/>
  <c r="L19" i="322" s="1"/>
  <c r="L20" i="322" s="1"/>
  <c r="L21" i="322" s="1"/>
  <c r="L22" i="322" s="1"/>
  <c r="L23" i="322" s="1"/>
  <c r="L24" i="322" s="1"/>
  <c r="L25" i="322" s="1"/>
  <c r="L26" i="322" s="1"/>
  <c r="L27" i="322" s="1"/>
  <c r="L28" i="322" s="1"/>
  <c r="L29" i="322" s="1"/>
  <c r="L30" i="322" s="1"/>
  <c r="L31" i="322" s="1"/>
  <c r="L32" i="322" s="1"/>
  <c r="L33" i="322" s="1"/>
  <c r="L34" i="322" s="1"/>
  <c r="L35" i="322" s="1"/>
  <c r="L36" i="322" s="1"/>
  <c r="L37" i="322" s="1"/>
  <c r="L38" i="322" s="1"/>
  <c r="L39" i="322" s="1"/>
  <c r="L40" i="322" s="1"/>
  <c r="L41" i="322" s="1"/>
  <c r="L42" i="322" s="1"/>
  <c r="L43" i="322" s="1"/>
  <c r="L44" i="322" s="1"/>
  <c r="L45" i="322" s="1"/>
  <c r="L46" i="322" s="1"/>
  <c r="L47" i="322" s="1"/>
  <c r="L48" i="322" s="1"/>
  <c r="L49" i="322" s="1"/>
  <c r="L50" i="322" s="1"/>
  <c r="L51" i="322" s="1"/>
  <c r="L52" i="322" s="1"/>
  <c r="L53" i="322" s="1"/>
  <c r="L54" i="322" s="1"/>
  <c r="L55" i="322" s="1"/>
  <c r="L56" i="322" s="1"/>
  <c r="L57" i="322" s="1"/>
  <c r="L58" i="322" s="1"/>
  <c r="L59" i="322" s="1"/>
  <c r="L60" i="322" s="1"/>
  <c r="L61" i="322" s="1"/>
  <c r="L62" i="322" s="1"/>
  <c r="L63" i="322" s="1"/>
  <c r="L64" i="322" s="1"/>
  <c r="L65" i="322" s="1"/>
  <c r="L66" i="322" s="1"/>
  <c r="L67" i="322" s="1"/>
  <c r="L68" i="322" s="1"/>
  <c r="L69" i="322" s="1"/>
  <c r="L70" i="322" s="1"/>
  <c r="L71" i="322" s="1"/>
  <c r="L72" i="322" s="1"/>
  <c r="L73" i="322" s="1"/>
  <c r="L74" i="322" s="1"/>
  <c r="L75" i="322" s="1"/>
  <c r="L76" i="322" s="1"/>
  <c r="L77" i="322" s="1"/>
  <c r="L78" i="322" s="1"/>
  <c r="L79" i="322" s="1"/>
  <c r="L80" i="322" s="1"/>
  <c r="L81" i="322" s="1"/>
  <c r="L82" i="322" s="1"/>
  <c r="L83" i="322" s="1"/>
  <c r="L84" i="322" s="1"/>
  <c r="L85" i="322" s="1"/>
  <c r="L86" i="322" s="1"/>
  <c r="L87" i="322" s="1"/>
  <c r="L88" i="322" s="1"/>
  <c r="L89" i="322" s="1"/>
  <c r="L90" i="322" s="1"/>
  <c r="L91" i="322" s="1"/>
  <c r="L92" i="322" s="1"/>
  <c r="L93" i="322" s="1"/>
  <c r="L94" i="322" s="1"/>
  <c r="L95" i="322" s="1"/>
  <c r="L96" i="322" s="1"/>
  <c r="L97" i="322" s="1"/>
  <c r="L98" i="322" s="1"/>
  <c r="L99" i="322" s="1"/>
  <c r="L100" i="322" s="1"/>
  <c r="L101" i="322" s="1"/>
  <c r="L102" i="322" s="1"/>
  <c r="L103" i="322" s="1"/>
  <c r="L105" i="322" s="1"/>
  <c r="Z59" i="322"/>
  <c r="AC5" i="322"/>
  <c r="Z3" i="322"/>
  <c r="Z4" i="322"/>
  <c r="W3" i="322"/>
  <c r="AA5" i="322"/>
  <c r="AG3" i="322"/>
  <c r="O50" i="321"/>
  <c r="O37" i="321"/>
  <c r="O101" i="321"/>
  <c r="O58" i="321"/>
  <c r="O83" i="321"/>
  <c r="O95" i="321"/>
  <c r="AA69" i="321"/>
  <c r="O94" i="321"/>
  <c r="O30" i="321"/>
  <c r="O75" i="321"/>
  <c r="O36" i="321"/>
  <c r="O96" i="321"/>
  <c r="O99" i="321"/>
  <c r="AD36" i="321"/>
  <c r="AD37" i="321" s="1"/>
  <c r="O87" i="321"/>
  <c r="AE34" i="321"/>
  <c r="O79" i="321"/>
  <c r="O62" i="321"/>
  <c r="K147" i="321"/>
  <c r="O97" i="321"/>
  <c r="O98" i="321"/>
  <c r="O103" i="321"/>
  <c r="O81" i="321"/>
  <c r="O100" i="321"/>
  <c r="K148" i="321"/>
  <c r="O84" i="321"/>
  <c r="K143" i="321"/>
  <c r="J111" i="321"/>
  <c r="O54" i="321"/>
  <c r="O33" i="321"/>
  <c r="O49" i="321"/>
  <c r="O61" i="321"/>
  <c r="O53" i="321"/>
  <c r="O44" i="321"/>
  <c r="AE35" i="321"/>
  <c r="O35" i="321"/>
  <c r="O8" i="321"/>
  <c r="T105" i="321"/>
  <c r="AB4" i="321" s="1"/>
  <c r="K116" i="321"/>
  <c r="K142" i="321" s="1"/>
  <c r="K119" i="321"/>
  <c r="K145" i="321" s="1"/>
  <c r="J151" i="321"/>
  <c r="K151" i="321" s="1"/>
  <c r="K125" i="321"/>
  <c r="O25" i="321"/>
  <c r="O20" i="321"/>
  <c r="N105" i="321"/>
  <c r="O19" i="321"/>
  <c r="O17" i="321"/>
  <c r="O28" i="321"/>
  <c r="O11" i="321"/>
  <c r="O29" i="321"/>
  <c r="O14" i="321"/>
  <c r="O12" i="321"/>
  <c r="O26" i="321"/>
  <c r="O16" i="321"/>
  <c r="O13" i="321"/>
  <c r="O22" i="321"/>
  <c r="O4" i="321"/>
  <c r="O77" i="321"/>
  <c r="O89" i="321"/>
  <c r="O78" i="321"/>
  <c r="O70" i="321"/>
  <c r="I146" i="321"/>
  <c r="J120" i="321"/>
  <c r="J146" i="321" s="1"/>
  <c r="J152" i="321" s="1"/>
  <c r="O76" i="321"/>
  <c r="O72" i="321"/>
  <c r="O68" i="321"/>
  <c r="O60" i="321"/>
  <c r="O47" i="321"/>
  <c r="O43" i="321"/>
  <c r="O32" i="321"/>
  <c r="O46" i="321"/>
  <c r="O42" i="321"/>
  <c r="O39" i="321"/>
  <c r="O31" i="321"/>
  <c r="O34" i="321"/>
  <c r="O55" i="321"/>
  <c r="O45" i="321"/>
  <c r="O24" i="321"/>
  <c r="O41" i="321"/>
  <c r="O7" i="321"/>
  <c r="V2" i="321"/>
  <c r="V105" i="321" s="1"/>
  <c r="S105" i="321"/>
  <c r="O15" i="321"/>
  <c r="AA35" i="321"/>
  <c r="Z60" i="321"/>
  <c r="AF10" i="321"/>
  <c r="AD28" i="321"/>
  <c r="I141" i="321"/>
  <c r="K115" i="321"/>
  <c r="K141" i="321" s="1"/>
  <c r="O80" i="321"/>
  <c r="O69" i="321"/>
  <c r="O67" i="321"/>
  <c r="O65" i="321"/>
  <c r="O63" i="321"/>
  <c r="O57" i="321"/>
  <c r="O59" i="321"/>
  <c r="O74" i="321"/>
  <c r="O3" i="321"/>
  <c r="O88" i="321"/>
  <c r="O91" i="321"/>
  <c r="O90" i="321"/>
  <c r="O93" i="321"/>
  <c r="O85" i="321"/>
  <c r="O66" i="321"/>
  <c r="O71" i="321"/>
  <c r="O2" i="321"/>
  <c r="O6" i="321"/>
  <c r="O56" i="321"/>
  <c r="AA3" i="321"/>
  <c r="Z18" i="321"/>
  <c r="Z24" i="321" s="1"/>
  <c r="AA4" i="321"/>
  <c r="Z13" i="321"/>
  <c r="O9" i="321"/>
  <c r="O73" i="321"/>
  <c r="O5" i="321"/>
  <c r="O86" i="321"/>
  <c r="O10" i="321"/>
  <c r="J108" i="320"/>
  <c r="J111" i="320"/>
  <c r="J110" i="320"/>
  <c r="P170" i="320"/>
  <c r="I170" i="320"/>
  <c r="Q169" i="320"/>
  <c r="R169" i="320" s="1"/>
  <c r="J168" i="320"/>
  <c r="K168" i="320" s="1"/>
  <c r="J167" i="320"/>
  <c r="K167" i="320" s="1"/>
  <c r="Q162" i="320"/>
  <c r="R159" i="320" s="1"/>
  <c r="T159" i="320" s="1"/>
  <c r="I162" i="320"/>
  <c r="R160" i="320"/>
  <c r="T160" i="320" s="1"/>
  <c r="L160" i="320"/>
  <c r="J160" i="320"/>
  <c r="L159" i="320"/>
  <c r="J159" i="320"/>
  <c r="R158" i="320"/>
  <c r="T158" i="320" s="1"/>
  <c r="L158" i="320"/>
  <c r="J158" i="320"/>
  <c r="J149" i="320"/>
  <c r="I144" i="320"/>
  <c r="J138" i="320"/>
  <c r="I138" i="320"/>
  <c r="J137" i="320"/>
  <c r="I137" i="320"/>
  <c r="K136" i="320"/>
  <c r="J136" i="320"/>
  <c r="I136" i="320"/>
  <c r="J135" i="320"/>
  <c r="I135" i="320"/>
  <c r="J134" i="320"/>
  <c r="I134" i="320"/>
  <c r="J133" i="320"/>
  <c r="I133" i="320"/>
  <c r="J132" i="320"/>
  <c r="I132" i="320"/>
  <c r="J131" i="320"/>
  <c r="I131" i="320"/>
  <c r="J130" i="320"/>
  <c r="I130" i="320"/>
  <c r="J129" i="320"/>
  <c r="I129" i="320"/>
  <c r="J128" i="320"/>
  <c r="I128" i="320"/>
  <c r="I125" i="320"/>
  <c r="I124" i="320"/>
  <c r="K123" i="320"/>
  <c r="J123" i="320"/>
  <c r="I123" i="320"/>
  <c r="I149" i="320" s="1"/>
  <c r="J122" i="320"/>
  <c r="I122" i="320"/>
  <c r="I121" i="320"/>
  <c r="J121" i="320" s="1"/>
  <c r="I119" i="320"/>
  <c r="J118" i="320"/>
  <c r="K118" i="320" s="1"/>
  <c r="I118" i="320"/>
  <c r="I117" i="320"/>
  <c r="I116" i="320"/>
  <c r="AC115" i="320"/>
  <c r="J115" i="320"/>
  <c r="J141" i="320" s="1"/>
  <c r="B115" i="320"/>
  <c r="P106" i="320"/>
  <c r="R105" i="320"/>
  <c r="P105" i="320"/>
  <c r="M105" i="320"/>
  <c r="J105" i="320"/>
  <c r="I105" i="320"/>
  <c r="H105" i="320"/>
  <c r="B105" i="320"/>
  <c r="U103" i="320"/>
  <c r="T103" i="320"/>
  <c r="S103" i="320"/>
  <c r="Q103" i="320"/>
  <c r="K103" i="320"/>
  <c r="U102" i="320"/>
  <c r="T102" i="320"/>
  <c r="S102" i="320"/>
  <c r="Q102" i="320"/>
  <c r="K102" i="320"/>
  <c r="U101" i="320"/>
  <c r="T101" i="320"/>
  <c r="S101" i="320"/>
  <c r="Q101" i="320"/>
  <c r="K101" i="320"/>
  <c r="U100" i="320"/>
  <c r="T100" i="320"/>
  <c r="S100" i="320"/>
  <c r="Q100" i="320"/>
  <c r="K100" i="320"/>
  <c r="U99" i="320"/>
  <c r="T99" i="320"/>
  <c r="S99" i="320"/>
  <c r="Q99" i="320"/>
  <c r="K99" i="320"/>
  <c r="U98" i="320"/>
  <c r="T98" i="320"/>
  <c r="S98" i="320"/>
  <c r="Q98" i="320"/>
  <c r="K98" i="320"/>
  <c r="U97" i="320"/>
  <c r="T97" i="320"/>
  <c r="S97" i="320"/>
  <c r="Q97" i="320"/>
  <c r="K97" i="320"/>
  <c r="U96" i="320"/>
  <c r="T96" i="320"/>
  <c r="S96" i="320"/>
  <c r="Q96" i="320"/>
  <c r="K96" i="320"/>
  <c r="U95" i="320"/>
  <c r="T95" i="320"/>
  <c r="S95" i="320"/>
  <c r="Q95" i="320"/>
  <c r="K95" i="320"/>
  <c r="U94" i="320"/>
  <c r="T94" i="320"/>
  <c r="S94" i="320"/>
  <c r="Q94" i="320"/>
  <c r="K94" i="320"/>
  <c r="U93" i="320"/>
  <c r="T93" i="320"/>
  <c r="S93" i="320"/>
  <c r="Q93" i="320"/>
  <c r="K93" i="320"/>
  <c r="AA92" i="320"/>
  <c r="U92" i="320"/>
  <c r="T92" i="320"/>
  <c r="S92" i="320"/>
  <c r="Q92" i="320"/>
  <c r="K92" i="320"/>
  <c r="U91" i="320"/>
  <c r="T91" i="320"/>
  <c r="S91" i="320"/>
  <c r="Q91" i="320"/>
  <c r="K91" i="320"/>
  <c r="U90" i="320"/>
  <c r="T90" i="320"/>
  <c r="S90" i="320"/>
  <c r="Q90" i="320"/>
  <c r="K90" i="320"/>
  <c r="U89" i="320"/>
  <c r="T89" i="320"/>
  <c r="S89" i="320"/>
  <c r="Q89" i="320"/>
  <c r="K89" i="320"/>
  <c r="U88" i="320"/>
  <c r="T88" i="320"/>
  <c r="S88" i="320"/>
  <c r="Q88" i="320"/>
  <c r="K88" i="320"/>
  <c r="AE87" i="320"/>
  <c r="AF86" i="320" s="1"/>
  <c r="AG86" i="320" s="1"/>
  <c r="AH86" i="320" s="1"/>
  <c r="AH87" i="320" s="1"/>
  <c r="AH88" i="320" s="1"/>
  <c r="AA87" i="320"/>
  <c r="Y87" i="320"/>
  <c r="U87" i="320"/>
  <c r="T87" i="320"/>
  <c r="S87" i="320"/>
  <c r="Q87" i="320"/>
  <c r="K87" i="320"/>
  <c r="U86" i="320"/>
  <c r="T86" i="320"/>
  <c r="S86" i="320"/>
  <c r="Q86" i="320"/>
  <c r="K86" i="320"/>
  <c r="U85" i="320"/>
  <c r="T85" i="320"/>
  <c r="S85" i="320"/>
  <c r="Q85" i="320"/>
  <c r="K85" i="320"/>
  <c r="U84" i="320"/>
  <c r="T84" i="320"/>
  <c r="S84" i="320"/>
  <c r="Q84" i="320"/>
  <c r="K84" i="320"/>
  <c r="U83" i="320"/>
  <c r="T83" i="320"/>
  <c r="S83" i="320"/>
  <c r="Q83" i="320"/>
  <c r="K83" i="320"/>
  <c r="U82" i="320"/>
  <c r="T82" i="320"/>
  <c r="S82" i="320"/>
  <c r="Q82" i="320"/>
  <c r="K82" i="320"/>
  <c r="AA81" i="320"/>
  <c r="AA86" i="320" s="1"/>
  <c r="AB86" i="320" s="1"/>
  <c r="AC86" i="320" s="1"/>
  <c r="AD86" i="320" s="1"/>
  <c r="AD87" i="320" s="1"/>
  <c r="AD88" i="320" s="1"/>
  <c r="Z81" i="320"/>
  <c r="U81" i="320"/>
  <c r="T81" i="320"/>
  <c r="S81" i="320"/>
  <c r="Q81" i="320"/>
  <c r="K81" i="320"/>
  <c r="AI80" i="320"/>
  <c r="U80" i="320"/>
  <c r="T80" i="320"/>
  <c r="S80" i="320"/>
  <c r="Q80" i="320"/>
  <c r="K80" i="320"/>
  <c r="AI79" i="320"/>
  <c r="AA79" i="320"/>
  <c r="U79" i="320"/>
  <c r="T79" i="320"/>
  <c r="S79" i="320"/>
  <c r="Q79" i="320"/>
  <c r="K79" i="320"/>
  <c r="AI78" i="320"/>
  <c r="U78" i="320"/>
  <c r="T78" i="320"/>
  <c r="S78" i="320"/>
  <c r="Q78" i="320"/>
  <c r="K78" i="320"/>
  <c r="U77" i="320"/>
  <c r="T77" i="320"/>
  <c r="S77" i="320"/>
  <c r="Q77" i="320"/>
  <c r="K77" i="320"/>
  <c r="U76" i="320"/>
  <c r="T76" i="320"/>
  <c r="S76" i="320"/>
  <c r="Q76" i="320"/>
  <c r="K76" i="320"/>
  <c r="U75" i="320"/>
  <c r="T75" i="320"/>
  <c r="S75" i="320"/>
  <c r="Q75" i="320"/>
  <c r="K75" i="320"/>
  <c r="U74" i="320"/>
  <c r="T74" i="320"/>
  <c r="S74" i="320"/>
  <c r="Q74" i="320"/>
  <c r="K74" i="320"/>
  <c r="AP73" i="320"/>
  <c r="AQ73" i="320" s="1"/>
  <c r="AD73" i="320"/>
  <c r="AM72" i="320" s="1"/>
  <c r="AN73" i="320" s="1"/>
  <c r="Z73" i="320"/>
  <c r="U73" i="320"/>
  <c r="T73" i="320"/>
  <c r="S73" i="320"/>
  <c r="Q73" i="320"/>
  <c r="K73" i="320"/>
  <c r="Z72" i="320"/>
  <c r="U72" i="320"/>
  <c r="T72" i="320"/>
  <c r="S72" i="320"/>
  <c r="Q72" i="320"/>
  <c r="K72" i="320"/>
  <c r="U71" i="320"/>
  <c r="T71" i="320"/>
  <c r="S71" i="320"/>
  <c r="Q71" i="320"/>
  <c r="K71" i="320"/>
  <c r="U70" i="320"/>
  <c r="T70" i="320"/>
  <c r="S70" i="320"/>
  <c r="Q70" i="320"/>
  <c r="K70" i="320"/>
  <c r="U69" i="320"/>
  <c r="T69" i="320"/>
  <c r="S69" i="320"/>
  <c r="Q69" i="320"/>
  <c r="K69" i="320"/>
  <c r="U68" i="320"/>
  <c r="T68" i="320"/>
  <c r="S68" i="320"/>
  <c r="Q68" i="320"/>
  <c r="K68" i="320"/>
  <c r="AL67" i="320"/>
  <c r="AA67" i="320"/>
  <c r="U67" i="320"/>
  <c r="T67" i="320"/>
  <c r="S67" i="320"/>
  <c r="Q67" i="320"/>
  <c r="K67" i="320"/>
  <c r="AF66" i="320"/>
  <c r="U66" i="320"/>
  <c r="T66" i="320"/>
  <c r="S66" i="320"/>
  <c r="Q66" i="320"/>
  <c r="K66" i="320"/>
  <c r="AF65" i="320"/>
  <c r="U65" i="320"/>
  <c r="T65" i="320"/>
  <c r="S65" i="320"/>
  <c r="Q65" i="320"/>
  <c r="K65" i="320"/>
  <c r="AL64" i="320"/>
  <c r="U64" i="320"/>
  <c r="T64" i="320"/>
  <c r="S64" i="320"/>
  <c r="Q64" i="320"/>
  <c r="K64" i="320"/>
  <c r="U63" i="320"/>
  <c r="T63" i="320"/>
  <c r="S63" i="320"/>
  <c r="Q63" i="320"/>
  <c r="K63" i="320"/>
  <c r="AC62" i="320"/>
  <c r="U62" i="320"/>
  <c r="T62" i="320"/>
  <c r="S62" i="320"/>
  <c r="Q62" i="320"/>
  <c r="K62" i="320"/>
  <c r="U61" i="320"/>
  <c r="T61" i="320"/>
  <c r="S61" i="320"/>
  <c r="Q61" i="320"/>
  <c r="K61" i="320"/>
  <c r="AL60" i="320"/>
  <c r="U60" i="320"/>
  <c r="T60" i="320"/>
  <c r="S60" i="320"/>
  <c r="Q60" i="320"/>
  <c r="K60" i="320"/>
  <c r="AH59" i="320"/>
  <c r="AG59" i="320"/>
  <c r="AI59" i="320" s="1"/>
  <c r="AE59" i="320"/>
  <c r="AE61" i="320" s="1"/>
  <c r="AB59" i="320"/>
  <c r="AA59" i="320"/>
  <c r="AC79" i="320" s="1"/>
  <c r="U59" i="320"/>
  <c r="T59" i="320"/>
  <c r="S59" i="320"/>
  <c r="Q59" i="320"/>
  <c r="K59" i="320"/>
  <c r="AB58" i="320"/>
  <c r="AA58" i="320"/>
  <c r="AC78" i="320" s="1"/>
  <c r="U58" i="320"/>
  <c r="T58" i="320"/>
  <c r="S58" i="320"/>
  <c r="Q58" i="320"/>
  <c r="K58" i="320"/>
  <c r="U57" i="320"/>
  <c r="T57" i="320"/>
  <c r="S57" i="320"/>
  <c r="Q57" i="320"/>
  <c r="K57" i="320"/>
  <c r="U56" i="320"/>
  <c r="T56" i="320"/>
  <c r="S56" i="320"/>
  <c r="Q56" i="320"/>
  <c r="K56" i="320"/>
  <c r="AL55" i="320"/>
  <c r="Y55" i="320"/>
  <c r="U55" i="320"/>
  <c r="S55" i="320"/>
  <c r="Q55" i="320"/>
  <c r="T55" i="320" s="1"/>
  <c r="K55" i="320"/>
  <c r="U54" i="320"/>
  <c r="T54" i="320"/>
  <c r="S54" i="320"/>
  <c r="Q54" i="320"/>
  <c r="K54" i="320"/>
  <c r="AM53" i="320"/>
  <c r="AM55" i="320" s="1"/>
  <c r="Y53" i="320"/>
  <c r="U53" i="320"/>
  <c r="T53" i="320"/>
  <c r="Q53" i="320"/>
  <c r="S53" i="320" s="1"/>
  <c r="K53" i="320"/>
  <c r="U52" i="320"/>
  <c r="T52" i="320"/>
  <c r="S52" i="320"/>
  <c r="Q52" i="320"/>
  <c r="K52" i="320"/>
  <c r="Y51" i="320"/>
  <c r="U51" i="320"/>
  <c r="T51" i="320"/>
  <c r="S51" i="320"/>
  <c r="K51" i="320"/>
  <c r="AB50" i="320"/>
  <c r="U50" i="320"/>
  <c r="T50" i="320"/>
  <c r="S50" i="320"/>
  <c r="Q50" i="320"/>
  <c r="K50" i="320"/>
  <c r="Y49" i="320"/>
  <c r="Z49" i="320" s="1"/>
  <c r="U49" i="320"/>
  <c r="T49" i="320"/>
  <c r="S49" i="320"/>
  <c r="Q49" i="320"/>
  <c r="K49" i="320"/>
  <c r="Y48" i="320"/>
  <c r="Z48" i="320" s="1"/>
  <c r="U48" i="320"/>
  <c r="T48" i="320"/>
  <c r="S48" i="320"/>
  <c r="Q48" i="320"/>
  <c r="K48" i="320"/>
  <c r="U47" i="320"/>
  <c r="T47" i="320"/>
  <c r="S47" i="320"/>
  <c r="Q47" i="320"/>
  <c r="K47" i="320"/>
  <c r="AF46" i="320"/>
  <c r="U46" i="320"/>
  <c r="T46" i="320"/>
  <c r="Q46" i="320"/>
  <c r="S46" i="320" s="1"/>
  <c r="K46" i="320"/>
  <c r="AB45" i="320"/>
  <c r="AA45" i="320"/>
  <c r="U45" i="320"/>
  <c r="T45" i="320"/>
  <c r="S45" i="320"/>
  <c r="Q45" i="320"/>
  <c r="K45" i="320"/>
  <c r="AE44" i="320"/>
  <c r="AE46" i="320" s="1"/>
  <c r="AB44" i="320"/>
  <c r="AA44" i="320"/>
  <c r="U44" i="320"/>
  <c r="T44" i="320"/>
  <c r="S44" i="320"/>
  <c r="Q44" i="320"/>
  <c r="K44" i="320"/>
  <c r="AB43" i="320"/>
  <c r="AA43" i="320"/>
  <c r="U43" i="320"/>
  <c r="T43" i="320"/>
  <c r="S43" i="320"/>
  <c r="Q43" i="320"/>
  <c r="K43" i="320"/>
  <c r="AA42" i="320"/>
  <c r="U42" i="320"/>
  <c r="T42" i="320"/>
  <c r="S42" i="320"/>
  <c r="Q42" i="320"/>
  <c r="K42" i="320"/>
  <c r="U41" i="320"/>
  <c r="T41" i="320"/>
  <c r="S41" i="320"/>
  <c r="Q41" i="320"/>
  <c r="K41" i="320"/>
  <c r="U40" i="320"/>
  <c r="T40" i="320"/>
  <c r="S40" i="320"/>
  <c r="K40" i="320"/>
  <c r="AH39" i="320"/>
  <c r="U39" i="320"/>
  <c r="T39" i="320"/>
  <c r="S39" i="320"/>
  <c r="Q39" i="320"/>
  <c r="K39" i="320"/>
  <c r="U38" i="320"/>
  <c r="T38" i="320"/>
  <c r="S38" i="320"/>
  <c r="Q38" i="320"/>
  <c r="K38" i="320"/>
  <c r="U37" i="320"/>
  <c r="T37" i="320"/>
  <c r="S37" i="320"/>
  <c r="Q37" i="320"/>
  <c r="K37" i="320"/>
  <c r="Z36" i="320"/>
  <c r="U36" i="320"/>
  <c r="T36" i="320"/>
  <c r="S36" i="320"/>
  <c r="Q36" i="320"/>
  <c r="K36" i="320"/>
  <c r="Z35" i="320"/>
  <c r="U35" i="320"/>
  <c r="T35" i="320"/>
  <c r="S35" i="320"/>
  <c r="Q35" i="320"/>
  <c r="K35" i="320"/>
  <c r="AI34" i="320"/>
  <c r="AH34" i="320"/>
  <c r="AC34" i="320"/>
  <c r="U34" i="320"/>
  <c r="T34" i="320"/>
  <c r="S34" i="320"/>
  <c r="Q34" i="320"/>
  <c r="K34" i="320"/>
  <c r="U33" i="320"/>
  <c r="T33" i="320"/>
  <c r="S33" i="320"/>
  <c r="Q33" i="320"/>
  <c r="K33" i="320"/>
  <c r="U32" i="320"/>
  <c r="T32" i="320"/>
  <c r="S32" i="320"/>
  <c r="Q32" i="320"/>
  <c r="K32" i="320"/>
  <c r="U31" i="320"/>
  <c r="T31" i="320"/>
  <c r="S31" i="320"/>
  <c r="Q31" i="320"/>
  <c r="K31" i="320"/>
  <c r="Z30" i="320"/>
  <c r="Z10" i="320" s="1"/>
  <c r="Z14" i="320" s="1"/>
  <c r="U30" i="320"/>
  <c r="T30" i="320"/>
  <c r="S30" i="320"/>
  <c r="Q30" i="320"/>
  <c r="K30" i="320"/>
  <c r="U29" i="320"/>
  <c r="J125" i="320" s="1"/>
  <c r="T29" i="320"/>
  <c r="S29" i="320"/>
  <c r="Q29" i="320"/>
  <c r="K29" i="320"/>
  <c r="AA28" i="320"/>
  <c r="U28" i="320"/>
  <c r="T28" i="320"/>
  <c r="S28" i="320"/>
  <c r="Q28" i="320"/>
  <c r="K28" i="320"/>
  <c r="AC27" i="320"/>
  <c r="AA27" i="320"/>
  <c r="U27" i="320"/>
  <c r="T27" i="320"/>
  <c r="S27" i="320"/>
  <c r="Q27" i="320"/>
  <c r="K27" i="320"/>
  <c r="AC26" i="320"/>
  <c r="AD26" i="320" s="1"/>
  <c r="AD27" i="320" s="1"/>
  <c r="T26" i="320"/>
  <c r="S26" i="320"/>
  <c r="Q26" i="320"/>
  <c r="U26" i="320" s="1"/>
  <c r="K26" i="320"/>
  <c r="AE25" i="320"/>
  <c r="U25" i="320"/>
  <c r="T25" i="320"/>
  <c r="Q25" i="320"/>
  <c r="S25" i="320" s="1"/>
  <c r="K25" i="320"/>
  <c r="U24" i="320"/>
  <c r="T24" i="320"/>
  <c r="S24" i="320"/>
  <c r="Q24" i="320"/>
  <c r="K24" i="320"/>
  <c r="U23" i="320"/>
  <c r="T23" i="320"/>
  <c r="S23" i="320"/>
  <c r="Q23" i="320"/>
  <c r="K23" i="320"/>
  <c r="U22" i="320"/>
  <c r="T22" i="320"/>
  <c r="Q22" i="320"/>
  <c r="S22" i="320" s="1"/>
  <c r="K22" i="320"/>
  <c r="U21" i="320"/>
  <c r="T21" i="320"/>
  <c r="S21" i="320"/>
  <c r="Q21" i="320"/>
  <c r="K21" i="320"/>
  <c r="U20" i="320"/>
  <c r="T20" i="320"/>
  <c r="Q20" i="320"/>
  <c r="S20" i="320" s="1"/>
  <c r="K20" i="320"/>
  <c r="U19" i="320"/>
  <c r="T19" i="320"/>
  <c r="Q19" i="320"/>
  <c r="S19" i="320" s="1"/>
  <c r="K19" i="320"/>
  <c r="U18" i="320"/>
  <c r="S18" i="320"/>
  <c r="Q18" i="320"/>
  <c r="T18" i="320" s="1"/>
  <c r="K18" i="320"/>
  <c r="U17" i="320"/>
  <c r="Q17" i="320"/>
  <c r="S17" i="320" s="1"/>
  <c r="K17" i="320"/>
  <c r="U16" i="320"/>
  <c r="T16" i="320"/>
  <c r="S16" i="320"/>
  <c r="K16" i="320"/>
  <c r="Z15" i="320"/>
  <c r="U15" i="320"/>
  <c r="T15" i="320"/>
  <c r="Q15" i="320"/>
  <c r="S15" i="320" s="1"/>
  <c r="K15" i="320"/>
  <c r="U14" i="320"/>
  <c r="T14" i="320"/>
  <c r="Q14" i="320"/>
  <c r="S14" i="320" s="1"/>
  <c r="K14" i="320"/>
  <c r="U13" i="320"/>
  <c r="T13" i="320"/>
  <c r="Q13" i="320"/>
  <c r="S13" i="320" s="1"/>
  <c r="K13" i="320"/>
  <c r="AC12" i="320"/>
  <c r="AB12" i="320"/>
  <c r="AA12" i="320"/>
  <c r="U12" i="320"/>
  <c r="T12" i="320"/>
  <c r="Q12" i="320"/>
  <c r="S12" i="320" s="1"/>
  <c r="K12" i="320"/>
  <c r="AH11" i="320"/>
  <c r="AE11" i="320"/>
  <c r="AA11" i="320"/>
  <c r="U11" i="320"/>
  <c r="T11" i="320"/>
  <c r="Q11" i="320"/>
  <c r="S11" i="320" s="1"/>
  <c r="K11" i="320"/>
  <c r="AH10" i="320"/>
  <c r="AE10" i="320"/>
  <c r="AB10" i="320"/>
  <c r="U10" i="320"/>
  <c r="T10" i="320"/>
  <c r="Q10" i="320"/>
  <c r="S10" i="320" s="1"/>
  <c r="K10" i="320"/>
  <c r="AA9" i="320"/>
  <c r="U9" i="320"/>
  <c r="Q9" i="320"/>
  <c r="S9" i="320" s="1"/>
  <c r="K9" i="320"/>
  <c r="U8" i="320"/>
  <c r="T8" i="320"/>
  <c r="Q8" i="320"/>
  <c r="S8" i="320" s="1"/>
  <c r="K8" i="320"/>
  <c r="Z7" i="320"/>
  <c r="U7" i="320"/>
  <c r="Q7" i="320"/>
  <c r="T7" i="320" s="1"/>
  <c r="Z6" i="320"/>
  <c r="U6" i="320"/>
  <c r="T6" i="320"/>
  <c r="Q6" i="320"/>
  <c r="S6" i="320" s="1"/>
  <c r="K6" i="320"/>
  <c r="AM5" i="320"/>
  <c r="AM6" i="320" s="1"/>
  <c r="AM8" i="320" s="1"/>
  <c r="AL5" i="320"/>
  <c r="AL6" i="320" s="1"/>
  <c r="AL8" i="320" s="1"/>
  <c r="AK5" i="320"/>
  <c r="AK6" i="320" s="1"/>
  <c r="AK8" i="320" s="1"/>
  <c r="AJ5" i="320"/>
  <c r="AJ6" i="320" s="1"/>
  <c r="AJ8" i="320" s="1"/>
  <c r="U5" i="320"/>
  <c r="S5" i="320"/>
  <c r="Q5" i="320"/>
  <c r="T5" i="320" s="1"/>
  <c r="K5" i="320"/>
  <c r="U4" i="320"/>
  <c r="S4" i="320"/>
  <c r="Q4" i="320"/>
  <c r="T4" i="320" s="1"/>
  <c r="K4" i="320"/>
  <c r="AO3" i="320"/>
  <c r="U3" i="320"/>
  <c r="S3" i="320"/>
  <c r="Q3" i="320"/>
  <c r="T3" i="320" s="1"/>
  <c r="K3" i="320"/>
  <c r="U2" i="320"/>
  <c r="T2" i="320"/>
  <c r="Q2" i="320"/>
  <c r="K2" i="320"/>
  <c r="X19" i="333" l="1"/>
  <c r="W20" i="333"/>
  <c r="W21" i="333" s="1"/>
  <c r="W22" i="333" s="1"/>
  <c r="W16" i="332"/>
  <c r="X15" i="332"/>
  <c r="W16" i="331"/>
  <c r="X15" i="331"/>
  <c r="W14" i="330"/>
  <c r="X13" i="330"/>
  <c r="W13" i="329"/>
  <c r="X12" i="329"/>
  <c r="X10" i="328"/>
  <c r="W11" i="328"/>
  <c r="X12" i="327"/>
  <c r="W13" i="327"/>
  <c r="W9" i="326"/>
  <c r="X8" i="326"/>
  <c r="W9" i="325"/>
  <c r="X8" i="325"/>
  <c r="AF5" i="323"/>
  <c r="AE5" i="323"/>
  <c r="AB78" i="322"/>
  <c r="AD78" i="322" s="1"/>
  <c r="Z5" i="322"/>
  <c r="Z62" i="322"/>
  <c r="Z61" i="322"/>
  <c r="AB17" i="322" s="1"/>
  <c r="X2" i="322"/>
  <c r="AD78" i="323"/>
  <c r="AD59" i="323"/>
  <c r="AB79" i="323"/>
  <c r="AD79" i="323" s="1"/>
  <c r="AK76" i="323" s="1"/>
  <c r="AL76" i="323" s="1"/>
  <c r="W5" i="323"/>
  <c r="X4" i="323"/>
  <c r="Z61" i="323"/>
  <c r="AB36" i="323"/>
  <c r="AA37" i="323"/>
  <c r="AB37" i="323" s="1"/>
  <c r="AC80" i="323"/>
  <c r="AB47" i="323"/>
  <c r="AA61" i="323"/>
  <c r="AA62" i="323"/>
  <c r="AD60" i="323"/>
  <c r="AE80" i="323" s="1"/>
  <c r="AE78" i="323"/>
  <c r="AN75" i="323"/>
  <c r="AN76" i="323" s="1"/>
  <c r="AG5" i="322"/>
  <c r="AE78" i="322"/>
  <c r="AN75" i="322"/>
  <c r="AN76" i="322" s="1"/>
  <c r="W4" i="322"/>
  <c r="X3" i="322"/>
  <c r="AD59" i="322"/>
  <c r="AB79" i="322"/>
  <c r="AD79" i="322" s="1"/>
  <c r="AK76" i="322" s="1"/>
  <c r="AL76" i="322" s="1"/>
  <c r="AA60" i="322"/>
  <c r="AF11" i="322"/>
  <c r="AF9" i="322" s="1"/>
  <c r="AE3" i="322"/>
  <c r="AF3" i="322" s="1"/>
  <c r="AF5" i="322" s="1"/>
  <c r="AD5" i="322"/>
  <c r="AA34" i="322" s="1"/>
  <c r="AB34" i="322" s="1"/>
  <c r="AA36" i="322"/>
  <c r="AE36" i="321"/>
  <c r="AE37" i="321" s="1"/>
  <c r="I152" i="321"/>
  <c r="T107" i="321"/>
  <c r="K120" i="321"/>
  <c r="K146" i="321" s="1"/>
  <c r="K152" i="321" s="1"/>
  <c r="AA5" i="321"/>
  <c r="S107" i="321"/>
  <c r="AC4" i="321"/>
  <c r="AG4" i="321" s="1"/>
  <c r="Z58" i="321"/>
  <c r="AB5" i="321"/>
  <c r="W2" i="321"/>
  <c r="Z4" i="321"/>
  <c r="Z3" i="321"/>
  <c r="AB80" i="321"/>
  <c r="Z53" i="321"/>
  <c r="L2" i="321"/>
  <c r="L3" i="321" s="1"/>
  <c r="L4" i="321" s="1"/>
  <c r="L5" i="321" s="1"/>
  <c r="L6" i="321" s="1"/>
  <c r="L7" i="321" s="1"/>
  <c r="L8" i="321" s="1"/>
  <c r="L9" i="321" s="1"/>
  <c r="L10" i="321" s="1"/>
  <c r="L11" i="321" s="1"/>
  <c r="L12" i="321" s="1"/>
  <c r="L13" i="321" s="1"/>
  <c r="L14" i="321" s="1"/>
  <c r="L15" i="321" s="1"/>
  <c r="L16" i="321" s="1"/>
  <c r="L17" i="321" s="1"/>
  <c r="L18" i="321" s="1"/>
  <c r="L19" i="321" s="1"/>
  <c r="L20" i="321" s="1"/>
  <c r="L21" i="321" s="1"/>
  <c r="L22" i="321" s="1"/>
  <c r="L23" i="321" s="1"/>
  <c r="L24" i="321" s="1"/>
  <c r="L25" i="321" s="1"/>
  <c r="L26" i="321" s="1"/>
  <c r="L27" i="321" s="1"/>
  <c r="L28" i="321" s="1"/>
  <c r="L29" i="321" s="1"/>
  <c r="L30" i="321" s="1"/>
  <c r="L31" i="321" s="1"/>
  <c r="L32" i="321" s="1"/>
  <c r="L33" i="321" s="1"/>
  <c r="L34" i="321" s="1"/>
  <c r="L35" i="321" s="1"/>
  <c r="L36" i="321" s="1"/>
  <c r="L37" i="321" s="1"/>
  <c r="L38" i="321" s="1"/>
  <c r="L39" i="321" s="1"/>
  <c r="L40" i="321" s="1"/>
  <c r="L41" i="321" s="1"/>
  <c r="L42" i="321" s="1"/>
  <c r="L43" i="321" s="1"/>
  <c r="L44" i="321" s="1"/>
  <c r="L45" i="321" s="1"/>
  <c r="L46" i="321" s="1"/>
  <c r="L47" i="321" s="1"/>
  <c r="L48" i="321" s="1"/>
  <c r="L49" i="321" s="1"/>
  <c r="L50" i="321" s="1"/>
  <c r="L51" i="321" s="1"/>
  <c r="L52" i="321" s="1"/>
  <c r="L53" i="321" s="1"/>
  <c r="L54" i="321" s="1"/>
  <c r="L55" i="321" s="1"/>
  <c r="L56" i="321" s="1"/>
  <c r="L57" i="321" s="1"/>
  <c r="L58" i="321" s="1"/>
  <c r="L59" i="321" s="1"/>
  <c r="L60" i="321" s="1"/>
  <c r="L61" i="321" s="1"/>
  <c r="L62" i="321" s="1"/>
  <c r="L63" i="321" s="1"/>
  <c r="L64" i="321" s="1"/>
  <c r="L65" i="321" s="1"/>
  <c r="L66" i="321" s="1"/>
  <c r="L67" i="321" s="1"/>
  <c r="L68" i="321" s="1"/>
  <c r="L69" i="321" s="1"/>
  <c r="L70" i="321" s="1"/>
  <c r="L71" i="321" s="1"/>
  <c r="L72" i="321" s="1"/>
  <c r="L73" i="321" s="1"/>
  <c r="L74" i="321" s="1"/>
  <c r="L75" i="321" s="1"/>
  <c r="L76" i="321" s="1"/>
  <c r="L77" i="321" s="1"/>
  <c r="L78" i="321" s="1"/>
  <c r="L79" i="321" s="1"/>
  <c r="L80" i="321" s="1"/>
  <c r="L81" i="321" s="1"/>
  <c r="L82" i="321" s="1"/>
  <c r="L83" i="321" s="1"/>
  <c r="L84" i="321" s="1"/>
  <c r="L85" i="321" s="1"/>
  <c r="L86" i="321" s="1"/>
  <c r="L87" i="321" s="1"/>
  <c r="L88" i="321" s="1"/>
  <c r="L89" i="321" s="1"/>
  <c r="L90" i="321" s="1"/>
  <c r="L91" i="321" s="1"/>
  <c r="L92" i="321" s="1"/>
  <c r="L93" i="321" s="1"/>
  <c r="L94" i="321" s="1"/>
  <c r="L95" i="321" s="1"/>
  <c r="L96" i="321" s="1"/>
  <c r="L97" i="321" s="1"/>
  <c r="L98" i="321" s="1"/>
  <c r="L99" i="321" s="1"/>
  <c r="L100" i="321" s="1"/>
  <c r="L101" i="321" s="1"/>
  <c r="L102" i="321" s="1"/>
  <c r="L103" i="321" s="1"/>
  <c r="L105" i="321" s="1"/>
  <c r="AB35" i="321"/>
  <c r="AT7" i="320"/>
  <c r="AU7" i="320" s="1"/>
  <c r="AT11" i="320"/>
  <c r="AU11" i="320" s="1"/>
  <c r="T17" i="320"/>
  <c r="V68" i="320"/>
  <c r="V79" i="320"/>
  <c r="V86" i="320"/>
  <c r="K137" i="320"/>
  <c r="K150" i="320" s="1"/>
  <c r="AT22" i="320"/>
  <c r="AU22" i="320" s="1"/>
  <c r="AT14" i="320"/>
  <c r="AU14" i="320" s="1"/>
  <c r="V40" i="320"/>
  <c r="V48" i="320"/>
  <c r="V87" i="320"/>
  <c r="AT18" i="320"/>
  <c r="AU18" i="320" s="1"/>
  <c r="V76" i="320"/>
  <c r="K135" i="320"/>
  <c r="V78" i="320"/>
  <c r="V16" i="320"/>
  <c r="AT13" i="320"/>
  <c r="AU13" i="320" s="1"/>
  <c r="V57" i="320"/>
  <c r="V61" i="320"/>
  <c r="V64" i="320"/>
  <c r="V66" i="320"/>
  <c r="V70" i="320"/>
  <c r="K128" i="320"/>
  <c r="AT5" i="320"/>
  <c r="AU5" i="320" s="1"/>
  <c r="V44" i="320"/>
  <c r="K149" i="320"/>
  <c r="V35" i="320"/>
  <c r="V41" i="320"/>
  <c r="V77" i="320"/>
  <c r="V93" i="320"/>
  <c r="V95" i="320"/>
  <c r="V97" i="320"/>
  <c r="V99" i="320"/>
  <c r="V101" i="320"/>
  <c r="V103" i="320"/>
  <c r="J148" i="320"/>
  <c r="K132" i="320"/>
  <c r="V36" i="320"/>
  <c r="AB62" i="320"/>
  <c r="AT15" i="320"/>
  <c r="AU15" i="320" s="1"/>
  <c r="AT16" i="320"/>
  <c r="AU16" i="320" s="1"/>
  <c r="V21" i="320"/>
  <c r="AC45" i="320"/>
  <c r="V58" i="320"/>
  <c r="V75" i="320"/>
  <c r="V91" i="320"/>
  <c r="V94" i="320"/>
  <c r="V98" i="320"/>
  <c r="V102" i="320"/>
  <c r="I145" i="320"/>
  <c r="K129" i="320"/>
  <c r="K133" i="320"/>
  <c r="AT8" i="320"/>
  <c r="AU8" i="320" s="1"/>
  <c r="V72" i="320"/>
  <c r="V80" i="320"/>
  <c r="V89" i="320"/>
  <c r="V90" i="320"/>
  <c r="AT17" i="320"/>
  <c r="AU17" i="320" s="1"/>
  <c r="AE26" i="320"/>
  <c r="AE27" i="320" s="1"/>
  <c r="V31" i="320"/>
  <c r="V32" i="320"/>
  <c r="N27" i="320"/>
  <c r="O39" i="320" s="1"/>
  <c r="V37" i="320"/>
  <c r="AC43" i="320"/>
  <c r="V47" i="320"/>
  <c r="V60" i="320"/>
  <c r="V62" i="320"/>
  <c r="V69" i="320"/>
  <c r="V84" i="320"/>
  <c r="X84" i="320" s="1"/>
  <c r="K122" i="320"/>
  <c r="K148" i="320" s="1"/>
  <c r="K130" i="320"/>
  <c r="V50" i="320"/>
  <c r="AH12" i="320"/>
  <c r="V34" i="320"/>
  <c r="V38" i="320"/>
  <c r="V49" i="320"/>
  <c r="V53" i="320"/>
  <c r="V71" i="320"/>
  <c r="V73" i="320"/>
  <c r="V92" i="320"/>
  <c r="J144" i="320"/>
  <c r="V8" i="320"/>
  <c r="V12" i="320"/>
  <c r="V15" i="320"/>
  <c r="I148" i="320"/>
  <c r="V18" i="320"/>
  <c r="V26" i="320"/>
  <c r="V6" i="320"/>
  <c r="V19" i="320"/>
  <c r="V13" i="320"/>
  <c r="V14" i="320"/>
  <c r="V51" i="320"/>
  <c r="V107" i="320" s="1"/>
  <c r="V109" i="320" s="1"/>
  <c r="N50" i="320"/>
  <c r="I147" i="320"/>
  <c r="AT19" i="320"/>
  <c r="AU19" i="320" s="1"/>
  <c r="AT6" i="320"/>
  <c r="AU6" i="320" s="1"/>
  <c r="V33" i="320"/>
  <c r="V39" i="320"/>
  <c r="V42" i="320"/>
  <c r="V54" i="320"/>
  <c r="V56" i="320"/>
  <c r="V3" i="320"/>
  <c r="V25" i="320"/>
  <c r="T9" i="320"/>
  <c r="V9" i="320" s="1"/>
  <c r="V10" i="320"/>
  <c r="V29" i="320"/>
  <c r="V4" i="320"/>
  <c r="S7" i="320"/>
  <c r="V7" i="320" s="1"/>
  <c r="Q105" i="320"/>
  <c r="V5" i="320"/>
  <c r="AT12" i="320"/>
  <c r="AU12" i="320" s="1"/>
  <c r="V23" i="320"/>
  <c r="V24" i="320"/>
  <c r="V17" i="320"/>
  <c r="V11" i="320"/>
  <c r="V20" i="320"/>
  <c r="V28" i="320"/>
  <c r="AC44" i="320"/>
  <c r="Z13" i="320"/>
  <c r="AA4" i="320"/>
  <c r="AA3" i="320"/>
  <c r="AD3" i="320" s="1"/>
  <c r="Z18" i="320"/>
  <c r="Z24" i="320" s="1"/>
  <c r="N85" i="320"/>
  <c r="O92" i="320" s="1"/>
  <c r="S2" i="320"/>
  <c r="AT9" i="320"/>
  <c r="AU9" i="320" s="1"/>
  <c r="Z16" i="320"/>
  <c r="AA16" i="320" s="1"/>
  <c r="AA15" i="320"/>
  <c r="AO73" i="320"/>
  <c r="AN74" i="320"/>
  <c r="I115" i="320"/>
  <c r="I143" i="320"/>
  <c r="K131" i="320"/>
  <c r="K144" i="320" s="1"/>
  <c r="K138" i="320"/>
  <c r="I151" i="320"/>
  <c r="AT4" i="320"/>
  <c r="AU4" i="320" s="1"/>
  <c r="AB42" i="320"/>
  <c r="AC42" i="320" s="1"/>
  <c r="I120" i="320"/>
  <c r="AA10" i="320"/>
  <c r="V30" i="320"/>
  <c r="J117" i="320"/>
  <c r="J143" i="320" s="1"/>
  <c r="Z37" i="320"/>
  <c r="U105" i="320"/>
  <c r="AD4" i="320" s="1"/>
  <c r="K7" i="320"/>
  <c r="K105" i="320" s="1"/>
  <c r="AC61" i="320"/>
  <c r="AA68" i="320" s="1"/>
  <c r="AC58" i="320"/>
  <c r="V22" i="320"/>
  <c r="V27" i="320"/>
  <c r="J151" i="320"/>
  <c r="K125" i="320"/>
  <c r="AD34" i="320"/>
  <c r="AC36" i="320"/>
  <c r="AC35" i="320"/>
  <c r="V43" i="320"/>
  <c r="V46" i="320"/>
  <c r="AB61" i="320"/>
  <c r="V65" i="320"/>
  <c r="N81" i="320"/>
  <c r="O84" i="320" s="1"/>
  <c r="J147" i="320"/>
  <c r="V45" i="320"/>
  <c r="V52" i="320"/>
  <c r="V55" i="320"/>
  <c r="N56" i="320"/>
  <c r="O74" i="320" s="1"/>
  <c r="V74" i="320"/>
  <c r="V88" i="320"/>
  <c r="N94" i="320"/>
  <c r="K121" i="320"/>
  <c r="I150" i="320"/>
  <c r="J124" i="320"/>
  <c r="J150" i="320" s="1"/>
  <c r="V81" i="320"/>
  <c r="V83" i="320"/>
  <c r="V96" i="320"/>
  <c r="V100" i="320"/>
  <c r="I142" i="320"/>
  <c r="J116" i="320"/>
  <c r="J142" i="320" s="1"/>
  <c r="K134" i="320"/>
  <c r="V59" i="320"/>
  <c r="V63" i="320"/>
  <c r="V67" i="320"/>
  <c r="V82" i="320"/>
  <c r="V85" i="320"/>
  <c r="Q168" i="320"/>
  <c r="R168" i="320" s="1"/>
  <c r="Q167" i="320"/>
  <c r="R167" i="320" s="1"/>
  <c r="J119" i="320"/>
  <c r="I7" i="319"/>
  <c r="H7" i="319"/>
  <c r="Z9" i="319"/>
  <c r="AA79" i="319"/>
  <c r="P170" i="319"/>
  <c r="I170" i="319"/>
  <c r="J168" i="319" s="1"/>
  <c r="K168" i="319" s="1"/>
  <c r="Q169" i="319"/>
  <c r="R169" i="319" s="1"/>
  <c r="Q168" i="319"/>
  <c r="R168" i="319" s="1"/>
  <c r="Q167" i="319"/>
  <c r="R167" i="319" s="1"/>
  <c r="J167" i="319"/>
  <c r="K167" i="319" s="1"/>
  <c r="Q162" i="319"/>
  <c r="I162" i="319"/>
  <c r="R160" i="319"/>
  <c r="T160" i="319" s="1"/>
  <c r="J160" i="319"/>
  <c r="L160" i="319" s="1"/>
  <c r="R159" i="319"/>
  <c r="T159" i="319" s="1"/>
  <c r="J159" i="319"/>
  <c r="L159" i="319" s="1"/>
  <c r="R158" i="319"/>
  <c r="T158" i="319" s="1"/>
  <c r="J158" i="319"/>
  <c r="L158" i="319" s="1"/>
  <c r="I149" i="319"/>
  <c r="J138" i="319"/>
  <c r="I138" i="319"/>
  <c r="K138" i="319" s="1"/>
  <c r="J137" i="319"/>
  <c r="I137" i="319"/>
  <c r="J136" i="319"/>
  <c r="I136" i="319"/>
  <c r="J135" i="319"/>
  <c r="I135" i="319"/>
  <c r="J134" i="319"/>
  <c r="I134" i="319"/>
  <c r="J133" i="319"/>
  <c r="I133" i="319"/>
  <c r="J132" i="319"/>
  <c r="I132" i="319"/>
  <c r="K131" i="319"/>
  <c r="J131" i="319"/>
  <c r="I131" i="319"/>
  <c r="J130" i="319"/>
  <c r="I130" i="319"/>
  <c r="J129" i="319"/>
  <c r="I129" i="319"/>
  <c r="J128" i="319"/>
  <c r="I128" i="319"/>
  <c r="I125" i="319"/>
  <c r="I124" i="319"/>
  <c r="J123" i="319"/>
  <c r="I123" i="319"/>
  <c r="J122" i="319"/>
  <c r="I122" i="319"/>
  <c r="I121" i="319"/>
  <c r="I119" i="319"/>
  <c r="I118" i="319"/>
  <c r="I117" i="319"/>
  <c r="I116" i="319"/>
  <c r="AC115" i="319"/>
  <c r="J115" i="319"/>
  <c r="B115" i="319"/>
  <c r="P106" i="319"/>
  <c r="R105" i="319"/>
  <c r="P105" i="319"/>
  <c r="M105" i="319"/>
  <c r="J105" i="319"/>
  <c r="B105" i="319"/>
  <c r="U103" i="319"/>
  <c r="T103" i="319"/>
  <c r="S103" i="319"/>
  <c r="Q103" i="319"/>
  <c r="K103" i="319"/>
  <c r="U102" i="319"/>
  <c r="T102" i="319"/>
  <c r="S102" i="319"/>
  <c r="Q102" i="319"/>
  <c r="K102" i="319"/>
  <c r="U101" i="319"/>
  <c r="T101" i="319"/>
  <c r="S101" i="319"/>
  <c r="Q101" i="319"/>
  <c r="K101" i="319"/>
  <c r="U100" i="319"/>
  <c r="T100" i="319"/>
  <c r="S100" i="319"/>
  <c r="Q100" i="319"/>
  <c r="K100" i="319"/>
  <c r="U99" i="319"/>
  <c r="T99" i="319"/>
  <c r="S99" i="319"/>
  <c r="Q99" i="319"/>
  <c r="K99" i="319"/>
  <c r="U98" i="319"/>
  <c r="T98" i="319"/>
  <c r="S98" i="319"/>
  <c r="Q98" i="319"/>
  <c r="K98" i="319"/>
  <c r="U97" i="319"/>
  <c r="T97" i="319"/>
  <c r="S97" i="319"/>
  <c r="Q97" i="319"/>
  <c r="K97" i="319"/>
  <c r="U96" i="319"/>
  <c r="T96" i="319"/>
  <c r="S96" i="319"/>
  <c r="Q96" i="319"/>
  <c r="K96" i="319"/>
  <c r="U95" i="319"/>
  <c r="T95" i="319"/>
  <c r="S95" i="319"/>
  <c r="Q95" i="319"/>
  <c r="K95" i="319"/>
  <c r="U94" i="319"/>
  <c r="T94" i="319"/>
  <c r="S94" i="319"/>
  <c r="Q94" i="319"/>
  <c r="K94" i="319"/>
  <c r="U93" i="319"/>
  <c r="T93" i="319"/>
  <c r="S93" i="319"/>
  <c r="Q93" i="319"/>
  <c r="K93" i="319"/>
  <c r="AA92" i="319"/>
  <c r="U92" i="319"/>
  <c r="T92" i="319"/>
  <c r="S92" i="319"/>
  <c r="Q92" i="319"/>
  <c r="K92" i="319"/>
  <c r="U91" i="319"/>
  <c r="T91" i="319"/>
  <c r="S91" i="319"/>
  <c r="Q91" i="319"/>
  <c r="K91" i="319"/>
  <c r="U90" i="319"/>
  <c r="T90" i="319"/>
  <c r="S90" i="319"/>
  <c r="Q90" i="319"/>
  <c r="K90" i="319"/>
  <c r="U89" i="319"/>
  <c r="T89" i="319"/>
  <c r="S89" i="319"/>
  <c r="Q89" i="319"/>
  <c r="K89" i="319"/>
  <c r="U88" i="319"/>
  <c r="T88" i="319"/>
  <c r="S88" i="319"/>
  <c r="Q88" i="319"/>
  <c r="K88" i="319"/>
  <c r="AE87" i="319"/>
  <c r="AF86" i="319" s="1"/>
  <c r="AG86" i="319" s="1"/>
  <c r="AH86" i="319" s="1"/>
  <c r="AH87" i="319" s="1"/>
  <c r="AH88" i="319" s="1"/>
  <c r="AA87" i="319"/>
  <c r="Y87" i="319"/>
  <c r="U87" i="319"/>
  <c r="T87" i="319"/>
  <c r="S87" i="319"/>
  <c r="Q87" i="319"/>
  <c r="K87" i="319"/>
  <c r="U86" i="319"/>
  <c r="T86" i="319"/>
  <c r="S86" i="319"/>
  <c r="Q86" i="319"/>
  <c r="K86" i="319"/>
  <c r="U85" i="319"/>
  <c r="T85" i="319"/>
  <c r="S85" i="319"/>
  <c r="Q85" i="319"/>
  <c r="K85" i="319"/>
  <c r="U84" i="319"/>
  <c r="T84" i="319"/>
  <c r="S84" i="319"/>
  <c r="Q84" i="319"/>
  <c r="K84" i="319"/>
  <c r="U83" i="319"/>
  <c r="T83" i="319"/>
  <c r="S83" i="319"/>
  <c r="Q83" i="319"/>
  <c r="K83" i="319"/>
  <c r="U82" i="319"/>
  <c r="T82" i="319"/>
  <c r="S82" i="319"/>
  <c r="Q82" i="319"/>
  <c r="K82" i="319"/>
  <c r="Z81" i="319"/>
  <c r="U81" i="319"/>
  <c r="T81" i="319"/>
  <c r="S81" i="319"/>
  <c r="Q81" i="319"/>
  <c r="K81" i="319"/>
  <c r="AI80" i="319"/>
  <c r="U80" i="319"/>
  <c r="T80" i="319"/>
  <c r="S80" i="319"/>
  <c r="Q80" i="319"/>
  <c r="K80" i="319"/>
  <c r="U79" i="319"/>
  <c r="T79" i="319"/>
  <c r="S79" i="319"/>
  <c r="Q79" i="319"/>
  <c r="K79" i="319"/>
  <c r="AI78" i="319"/>
  <c r="U78" i="319"/>
  <c r="T78" i="319"/>
  <c r="S78" i="319"/>
  <c r="Q78" i="319"/>
  <c r="K78" i="319"/>
  <c r="U77" i="319"/>
  <c r="T77" i="319"/>
  <c r="S77" i="319"/>
  <c r="Q77" i="319"/>
  <c r="K77" i="319"/>
  <c r="U76" i="319"/>
  <c r="T76" i="319"/>
  <c r="S76" i="319"/>
  <c r="Q76" i="319"/>
  <c r="K76" i="319"/>
  <c r="U75" i="319"/>
  <c r="T75" i="319"/>
  <c r="S75" i="319"/>
  <c r="Q75" i="319"/>
  <c r="K75" i="319"/>
  <c r="U74" i="319"/>
  <c r="T74" i="319"/>
  <c r="S74" i="319"/>
  <c r="Q74" i="319"/>
  <c r="K74" i="319"/>
  <c r="AP73" i="319"/>
  <c r="AQ73" i="319" s="1"/>
  <c r="AD73" i="319"/>
  <c r="AM72" i="319" s="1"/>
  <c r="AN73" i="319" s="1"/>
  <c r="AN74" i="319" s="1"/>
  <c r="Z73" i="319"/>
  <c r="U73" i="319"/>
  <c r="T73" i="319"/>
  <c r="S73" i="319"/>
  <c r="Q73" i="319"/>
  <c r="K73" i="319"/>
  <c r="Z72" i="319"/>
  <c r="U72" i="319"/>
  <c r="T72" i="319"/>
  <c r="S72" i="319"/>
  <c r="Q72" i="319"/>
  <c r="K72" i="319"/>
  <c r="U71" i="319"/>
  <c r="T71" i="319"/>
  <c r="S71" i="319"/>
  <c r="Q71" i="319"/>
  <c r="K71" i="319"/>
  <c r="U70" i="319"/>
  <c r="T70" i="319"/>
  <c r="S70" i="319"/>
  <c r="Q70" i="319"/>
  <c r="K70" i="319"/>
  <c r="U69" i="319"/>
  <c r="T69" i="319"/>
  <c r="S69" i="319"/>
  <c r="Q69" i="319"/>
  <c r="K69" i="319"/>
  <c r="U68" i="319"/>
  <c r="T68" i="319"/>
  <c r="S68" i="319"/>
  <c r="Q68" i="319"/>
  <c r="K68" i="319"/>
  <c r="AL67" i="319"/>
  <c r="AA67" i="319"/>
  <c r="U67" i="319"/>
  <c r="T67" i="319"/>
  <c r="S67" i="319"/>
  <c r="Q67" i="319"/>
  <c r="K67" i="319"/>
  <c r="AF66" i="319"/>
  <c r="U66" i="319"/>
  <c r="T66" i="319"/>
  <c r="S66" i="319"/>
  <c r="Q66" i="319"/>
  <c r="K66" i="319"/>
  <c r="AF65" i="319"/>
  <c r="U65" i="319"/>
  <c r="T65" i="319"/>
  <c r="S65" i="319"/>
  <c r="Q65" i="319"/>
  <c r="K65" i="319"/>
  <c r="AL64" i="319"/>
  <c r="U64" i="319"/>
  <c r="T64" i="319"/>
  <c r="S64" i="319"/>
  <c r="Q64" i="319"/>
  <c r="K64" i="319"/>
  <c r="U63" i="319"/>
  <c r="T63" i="319"/>
  <c r="S63" i="319"/>
  <c r="Q63" i="319"/>
  <c r="K63" i="319"/>
  <c r="AC62" i="319"/>
  <c r="U62" i="319"/>
  <c r="T62" i="319"/>
  <c r="S62" i="319"/>
  <c r="Q62" i="319"/>
  <c r="K62" i="319"/>
  <c r="U61" i="319"/>
  <c r="T61" i="319"/>
  <c r="S61" i="319"/>
  <c r="Q61" i="319"/>
  <c r="K61" i="319"/>
  <c r="AL60" i="319"/>
  <c r="U60" i="319"/>
  <c r="T60" i="319"/>
  <c r="S60" i="319"/>
  <c r="Q60" i="319"/>
  <c r="K60" i="319"/>
  <c r="AH59" i="319"/>
  <c r="AG59" i="319"/>
  <c r="AE59" i="319"/>
  <c r="AE61" i="319" s="1"/>
  <c r="AB59" i="319"/>
  <c r="AA59" i="319"/>
  <c r="AC79" i="319" s="1"/>
  <c r="U59" i="319"/>
  <c r="T59" i="319"/>
  <c r="S59" i="319"/>
  <c r="Q59" i="319"/>
  <c r="K59" i="319"/>
  <c r="AB58" i="319"/>
  <c r="AA58" i="319"/>
  <c r="AC78" i="319" s="1"/>
  <c r="U58" i="319"/>
  <c r="T58" i="319"/>
  <c r="S58" i="319"/>
  <c r="Q58" i="319"/>
  <c r="K58" i="319"/>
  <c r="U57" i="319"/>
  <c r="T57" i="319"/>
  <c r="S57" i="319"/>
  <c r="Q57" i="319"/>
  <c r="K57" i="319"/>
  <c r="U56" i="319"/>
  <c r="T56" i="319"/>
  <c r="S56" i="319"/>
  <c r="Q56" i="319"/>
  <c r="K56" i="319"/>
  <c r="AL55" i="319"/>
  <c r="Y55" i="319"/>
  <c r="U55" i="319"/>
  <c r="T55" i="319"/>
  <c r="S55" i="319"/>
  <c r="Q55" i="319"/>
  <c r="K55" i="319"/>
  <c r="U54" i="319"/>
  <c r="T54" i="319"/>
  <c r="S54" i="319"/>
  <c r="Q54" i="319"/>
  <c r="K54" i="319"/>
  <c r="AM53" i="319"/>
  <c r="AM55" i="319" s="1"/>
  <c r="Y53" i="319"/>
  <c r="U53" i="319"/>
  <c r="T53" i="319"/>
  <c r="Q53" i="319"/>
  <c r="S53" i="319" s="1"/>
  <c r="K53" i="319"/>
  <c r="U52" i="319"/>
  <c r="T52" i="319"/>
  <c r="S52" i="319"/>
  <c r="Q52" i="319"/>
  <c r="K52" i="319"/>
  <c r="Y51" i="319"/>
  <c r="U51" i="319"/>
  <c r="T51" i="319"/>
  <c r="S51" i="319"/>
  <c r="K51" i="319"/>
  <c r="AB50" i="319"/>
  <c r="U50" i="319"/>
  <c r="T50" i="319"/>
  <c r="S50" i="319"/>
  <c r="Q50" i="319"/>
  <c r="K50" i="319"/>
  <c r="Y49" i="319"/>
  <c r="Z49" i="319" s="1"/>
  <c r="U49" i="319"/>
  <c r="T49" i="319"/>
  <c r="S49" i="319"/>
  <c r="Q49" i="319"/>
  <c r="K49" i="319"/>
  <c r="Y48" i="319"/>
  <c r="Z48" i="319" s="1"/>
  <c r="U48" i="319"/>
  <c r="T48" i="319"/>
  <c r="S48" i="319"/>
  <c r="Q48" i="319"/>
  <c r="K48" i="319"/>
  <c r="U47" i="319"/>
  <c r="T47" i="319"/>
  <c r="S47" i="319"/>
  <c r="Q47" i="319"/>
  <c r="K47" i="319"/>
  <c r="AF46" i="319"/>
  <c r="U46" i="319"/>
  <c r="T46" i="319"/>
  <c r="Q46" i="319"/>
  <c r="S46" i="319" s="1"/>
  <c r="K46" i="319"/>
  <c r="AB45" i="319"/>
  <c r="AA45" i="319"/>
  <c r="U45" i="319"/>
  <c r="T45" i="319"/>
  <c r="S45" i="319"/>
  <c r="Q45" i="319"/>
  <c r="K45" i="319"/>
  <c r="AE44" i="319"/>
  <c r="AE46" i="319" s="1"/>
  <c r="AB44" i="319"/>
  <c r="AA44" i="319"/>
  <c r="U44" i="319"/>
  <c r="T44" i="319"/>
  <c r="S44" i="319"/>
  <c r="Q44" i="319"/>
  <c r="K44" i="319"/>
  <c r="AB43" i="319"/>
  <c r="AA43" i="319"/>
  <c r="U43" i="319"/>
  <c r="T43" i="319"/>
  <c r="S43" i="319"/>
  <c r="Q43" i="319"/>
  <c r="K43" i="319"/>
  <c r="U42" i="319"/>
  <c r="T42" i="319"/>
  <c r="S42" i="319"/>
  <c r="Q42" i="319"/>
  <c r="K42" i="319"/>
  <c r="U41" i="319"/>
  <c r="T41" i="319"/>
  <c r="S41" i="319"/>
  <c r="Q41" i="319"/>
  <c r="K41" i="319"/>
  <c r="U40" i="319"/>
  <c r="T40" i="319"/>
  <c r="S40" i="319"/>
  <c r="K40" i="319"/>
  <c r="AH39" i="319"/>
  <c r="U39" i="319"/>
  <c r="T39" i="319"/>
  <c r="S39" i="319"/>
  <c r="Q39" i="319"/>
  <c r="K39" i="319"/>
  <c r="U38" i="319"/>
  <c r="T38" i="319"/>
  <c r="S38" i="319"/>
  <c r="Q38" i="319"/>
  <c r="K38" i="319"/>
  <c r="U37" i="319"/>
  <c r="T37" i="319"/>
  <c r="S37" i="319"/>
  <c r="Q37" i="319"/>
  <c r="K37" i="319"/>
  <c r="Z36" i="319"/>
  <c r="U36" i="319"/>
  <c r="T36" i="319"/>
  <c r="S36" i="319"/>
  <c r="Q36" i="319"/>
  <c r="K36" i="319"/>
  <c r="Z35" i="319"/>
  <c r="U35" i="319"/>
  <c r="T35" i="319"/>
  <c r="S35" i="319"/>
  <c r="Q35" i="319"/>
  <c r="K35" i="319"/>
  <c r="AI34" i="319"/>
  <c r="AH34" i="319"/>
  <c r="AC34" i="319"/>
  <c r="U34" i="319"/>
  <c r="T34" i="319"/>
  <c r="S34" i="319"/>
  <c r="Q34" i="319"/>
  <c r="K34" i="319"/>
  <c r="U33" i="319"/>
  <c r="T33" i="319"/>
  <c r="S33" i="319"/>
  <c r="Q33" i="319"/>
  <c r="K33" i="319"/>
  <c r="U32" i="319"/>
  <c r="T32" i="319"/>
  <c r="S32" i="319"/>
  <c r="Q32" i="319"/>
  <c r="K32" i="319"/>
  <c r="U31" i="319"/>
  <c r="T31" i="319"/>
  <c r="S31" i="319"/>
  <c r="Q31" i="319"/>
  <c r="K31" i="319"/>
  <c r="Z30" i="319"/>
  <c r="U30" i="319"/>
  <c r="T30" i="319"/>
  <c r="S30" i="319"/>
  <c r="Q30" i="319"/>
  <c r="K30" i="319"/>
  <c r="U29" i="319"/>
  <c r="J125" i="319" s="1"/>
  <c r="J151" i="319" s="1"/>
  <c r="T29" i="319"/>
  <c r="S29" i="319"/>
  <c r="Q29" i="319"/>
  <c r="K29" i="319"/>
  <c r="AA28" i="319"/>
  <c r="U28" i="319"/>
  <c r="T28" i="319"/>
  <c r="S28" i="319"/>
  <c r="Q28" i="319"/>
  <c r="K28" i="319"/>
  <c r="AC27" i="319"/>
  <c r="AA27" i="319"/>
  <c r="U27" i="319"/>
  <c r="T27" i="319"/>
  <c r="S27" i="319"/>
  <c r="Q27" i="319"/>
  <c r="K27" i="319"/>
  <c r="AC26" i="319"/>
  <c r="AD26" i="319" s="1"/>
  <c r="AD27" i="319" s="1"/>
  <c r="T26" i="319"/>
  <c r="S26" i="319"/>
  <c r="Q26" i="319"/>
  <c r="U26" i="319" s="1"/>
  <c r="K26" i="319"/>
  <c r="AE25" i="319"/>
  <c r="U25" i="319"/>
  <c r="T25" i="319"/>
  <c r="Q25" i="319"/>
  <c r="S25" i="319" s="1"/>
  <c r="K25" i="319"/>
  <c r="U24" i="319"/>
  <c r="T24" i="319"/>
  <c r="S24" i="319"/>
  <c r="Q24" i="319"/>
  <c r="K24" i="319"/>
  <c r="U23" i="319"/>
  <c r="T23" i="319"/>
  <c r="S23" i="319"/>
  <c r="Q23" i="319"/>
  <c r="K23" i="319"/>
  <c r="U22" i="319"/>
  <c r="T22" i="319"/>
  <c r="Q22" i="319"/>
  <c r="S22" i="319" s="1"/>
  <c r="K22" i="319"/>
  <c r="U21" i="319"/>
  <c r="T21" i="319"/>
  <c r="S21" i="319"/>
  <c r="Q21" i="319"/>
  <c r="K21" i="319"/>
  <c r="U20" i="319"/>
  <c r="T20" i="319"/>
  <c r="Q20" i="319"/>
  <c r="S20" i="319" s="1"/>
  <c r="K20" i="319"/>
  <c r="U19" i="319"/>
  <c r="T19" i="319"/>
  <c r="Q19" i="319"/>
  <c r="S19" i="319" s="1"/>
  <c r="K19" i="319"/>
  <c r="U18" i="319"/>
  <c r="S18" i="319"/>
  <c r="Q18" i="319"/>
  <c r="T18" i="319" s="1"/>
  <c r="K18" i="319"/>
  <c r="U17" i="319"/>
  <c r="T17" i="319"/>
  <c r="Q17" i="319"/>
  <c r="S17" i="319" s="1"/>
  <c r="K17" i="319"/>
  <c r="U16" i="319"/>
  <c r="T16" i="319"/>
  <c r="S16" i="319"/>
  <c r="K16" i="319"/>
  <c r="Z15" i="319"/>
  <c r="U15" i="319"/>
  <c r="T15" i="319"/>
  <c r="Q15" i="319"/>
  <c r="S15" i="319" s="1"/>
  <c r="K15" i="319"/>
  <c r="U14" i="319"/>
  <c r="T14" i="319"/>
  <c r="Q14" i="319"/>
  <c r="S14" i="319" s="1"/>
  <c r="K14" i="319"/>
  <c r="U13" i="319"/>
  <c r="T13" i="319"/>
  <c r="Q13" i="319"/>
  <c r="S13" i="319" s="1"/>
  <c r="K13" i="319"/>
  <c r="AC12" i="319"/>
  <c r="AB12" i="319"/>
  <c r="AA12" i="319"/>
  <c r="U12" i="319"/>
  <c r="T12" i="319"/>
  <c r="Q12" i="319"/>
  <c r="S12" i="319" s="1"/>
  <c r="K12" i="319"/>
  <c r="AH11" i="319"/>
  <c r="AE11" i="319"/>
  <c r="AA11" i="319"/>
  <c r="U11" i="319"/>
  <c r="T11" i="319"/>
  <c r="Q11" i="319"/>
  <c r="S11" i="319" s="1"/>
  <c r="K11" i="319"/>
  <c r="AH10" i="319"/>
  <c r="AE10" i="319"/>
  <c r="AB10" i="319"/>
  <c r="AC58" i="319" s="1"/>
  <c r="U10" i="319"/>
  <c r="T10" i="319"/>
  <c r="Q10" i="319"/>
  <c r="S10" i="319" s="1"/>
  <c r="K10" i="319"/>
  <c r="U9" i="319"/>
  <c r="Q9" i="319"/>
  <c r="T9" i="319" s="1"/>
  <c r="K9" i="319"/>
  <c r="U8" i="319"/>
  <c r="T8" i="319"/>
  <c r="Q8" i="319"/>
  <c r="S8" i="319" s="1"/>
  <c r="K8" i="319"/>
  <c r="Z7" i="319"/>
  <c r="U7" i="319"/>
  <c r="Q7" i="319"/>
  <c r="T7" i="319" s="1"/>
  <c r="I105" i="319"/>
  <c r="I107" i="319" s="1"/>
  <c r="I115" i="319"/>
  <c r="Z6" i="319"/>
  <c r="U6" i="319"/>
  <c r="T6" i="319"/>
  <c r="Q6" i="319"/>
  <c r="S6" i="319" s="1"/>
  <c r="K6" i="319"/>
  <c r="AM5" i="319"/>
  <c r="AM6" i="319" s="1"/>
  <c r="AM8" i="319" s="1"/>
  <c r="AL5" i="319"/>
  <c r="AL6" i="319" s="1"/>
  <c r="AL8" i="319" s="1"/>
  <c r="AK5" i="319"/>
  <c r="AK6" i="319" s="1"/>
  <c r="AK8" i="319" s="1"/>
  <c r="AJ5" i="319"/>
  <c r="AJ6" i="319" s="1"/>
  <c r="AJ8" i="319" s="1"/>
  <c r="U5" i="319"/>
  <c r="S5" i="319"/>
  <c r="Q5" i="319"/>
  <c r="T5" i="319" s="1"/>
  <c r="K5" i="319"/>
  <c r="U4" i="319"/>
  <c r="S4" i="319"/>
  <c r="Q4" i="319"/>
  <c r="T4" i="319" s="1"/>
  <c r="K4" i="319"/>
  <c r="AO3" i="319"/>
  <c r="U3" i="319"/>
  <c r="S3" i="319"/>
  <c r="Q3" i="319"/>
  <c r="T3" i="319" s="1"/>
  <c r="K3" i="319"/>
  <c r="U2" i="319"/>
  <c r="T2" i="319"/>
  <c r="Q2" i="319"/>
  <c r="S2" i="319" s="1"/>
  <c r="K2" i="319"/>
  <c r="AA79" i="172"/>
  <c r="W24" i="333" l="1"/>
  <c r="X22" i="333"/>
  <c r="W23" i="333"/>
  <c r="X16" i="332"/>
  <c r="W17" i="332"/>
  <c r="W17" i="331"/>
  <c r="X16" i="331"/>
  <c r="W15" i="330"/>
  <c r="X14" i="330"/>
  <c r="W14" i="329"/>
  <c r="X13" i="329"/>
  <c r="W12" i="328"/>
  <c r="X11" i="328"/>
  <c r="W14" i="327"/>
  <c r="X13" i="327"/>
  <c r="W10" i="326"/>
  <c r="X9" i="326"/>
  <c r="W10" i="325"/>
  <c r="X9" i="325"/>
  <c r="AD61" i="323"/>
  <c r="Z70" i="322"/>
  <c r="AF78" i="323"/>
  <c r="Z70" i="323"/>
  <c r="AB17" i="323"/>
  <c r="AE70" i="323"/>
  <c r="AE79" i="323"/>
  <c r="AF79" i="323" s="1"/>
  <c r="AJ59" i="323"/>
  <c r="AC81" i="323"/>
  <c r="AD80" i="323"/>
  <c r="AK77" i="323" s="1"/>
  <c r="AL77" i="323" s="1"/>
  <c r="AK75" i="323"/>
  <c r="AD62" i="323"/>
  <c r="W6" i="323"/>
  <c r="X5" i="323"/>
  <c r="AB81" i="323"/>
  <c r="AK75" i="322"/>
  <c r="AE79" i="322"/>
  <c r="AF79" i="322" s="1"/>
  <c r="AJ59" i="322"/>
  <c r="AB81" i="322"/>
  <c r="AF78" i="322"/>
  <c r="AB36" i="322"/>
  <c r="AA37" i="322"/>
  <c r="AB37" i="322" s="1"/>
  <c r="AC80" i="322"/>
  <c r="AA61" i="322"/>
  <c r="AE70" i="322" s="1"/>
  <c r="AB47" i="322"/>
  <c r="AA62" i="322"/>
  <c r="AD60" i="322"/>
  <c r="X4" i="322"/>
  <c r="W5" i="322"/>
  <c r="AE5" i="322"/>
  <c r="X2" i="321"/>
  <c r="W3" i="321"/>
  <c r="AA36" i="321"/>
  <c r="AA60" i="321"/>
  <c r="AD5" i="321"/>
  <c r="AA34" i="321" s="1"/>
  <c r="AB34" i="321" s="1"/>
  <c r="AF11" i="321"/>
  <c r="AF9" i="321" s="1"/>
  <c r="AE3" i="321"/>
  <c r="AF3" i="321" s="1"/>
  <c r="AD58" i="321"/>
  <c r="AB78" i="321"/>
  <c r="Z59" i="321"/>
  <c r="Z61" i="321" s="1"/>
  <c r="AC5" i="321"/>
  <c r="Z5" i="321"/>
  <c r="AE4" i="321"/>
  <c r="AF4" i="321" s="1"/>
  <c r="AG3" i="321"/>
  <c r="AG5" i="321" s="1"/>
  <c r="O91" i="320"/>
  <c r="O49" i="320"/>
  <c r="O35" i="320"/>
  <c r="O34" i="320"/>
  <c r="O50" i="320"/>
  <c r="O54" i="320"/>
  <c r="O86" i="320"/>
  <c r="O44" i="320"/>
  <c r="O46" i="320"/>
  <c r="O56" i="320"/>
  <c r="O36" i="320"/>
  <c r="O33" i="320"/>
  <c r="O30" i="320"/>
  <c r="O47" i="320"/>
  <c r="O66" i="320"/>
  <c r="O37" i="320"/>
  <c r="O32" i="320"/>
  <c r="O45" i="320"/>
  <c r="O38" i="320"/>
  <c r="O42" i="320"/>
  <c r="K116" i="320"/>
  <c r="K142" i="320" s="1"/>
  <c r="K147" i="320"/>
  <c r="O53" i="320"/>
  <c r="O55" i="320"/>
  <c r="O43" i="320"/>
  <c r="O41" i="320"/>
  <c r="O71" i="320"/>
  <c r="O31" i="320"/>
  <c r="O58" i="320"/>
  <c r="T105" i="320"/>
  <c r="T107" i="320" s="1"/>
  <c r="O102" i="320"/>
  <c r="O98" i="320"/>
  <c r="O94" i="320"/>
  <c r="O101" i="320"/>
  <c r="O97" i="320"/>
  <c r="O103" i="320"/>
  <c r="O99" i="320"/>
  <c r="O95" i="320"/>
  <c r="O100" i="320"/>
  <c r="O96" i="320"/>
  <c r="AD35" i="320"/>
  <c r="AD36" i="320"/>
  <c r="AE36" i="320" s="1"/>
  <c r="I141" i="320"/>
  <c r="K115" i="320"/>
  <c r="K141" i="320" s="1"/>
  <c r="AE34" i="320"/>
  <c r="S105" i="320"/>
  <c r="V2" i="320"/>
  <c r="V105" i="320" s="1"/>
  <c r="Z4" i="320"/>
  <c r="Z3" i="320"/>
  <c r="O57" i="320"/>
  <c r="AA69" i="320"/>
  <c r="AC37" i="320"/>
  <c r="AE35" i="320"/>
  <c r="Z60" i="320"/>
  <c r="AD28" i="320"/>
  <c r="AA35" i="320"/>
  <c r="AF10" i="320"/>
  <c r="I146" i="320"/>
  <c r="J120" i="320"/>
  <c r="J146" i="320" s="1"/>
  <c r="K151" i="320"/>
  <c r="O85" i="320"/>
  <c r="O93" i="320"/>
  <c r="O89" i="320"/>
  <c r="O90" i="320"/>
  <c r="O88" i="320"/>
  <c r="O82" i="320"/>
  <c r="O81" i="320"/>
  <c r="L2" i="320"/>
  <c r="L3" i="320" s="1"/>
  <c r="L4" i="320" s="1"/>
  <c r="L5" i="320" s="1"/>
  <c r="L6" i="320" s="1"/>
  <c r="L7" i="320" s="1"/>
  <c r="L8" i="320" s="1"/>
  <c r="L9" i="320" s="1"/>
  <c r="L10" i="320" s="1"/>
  <c r="L11" i="320" s="1"/>
  <c r="L12" i="320" s="1"/>
  <c r="L13" i="320" s="1"/>
  <c r="L14" i="320" s="1"/>
  <c r="L15" i="320" s="1"/>
  <c r="L16" i="320" s="1"/>
  <c r="L17" i="320" s="1"/>
  <c r="L18" i="320" s="1"/>
  <c r="L19" i="320" s="1"/>
  <c r="L20" i="320" s="1"/>
  <c r="L21" i="320" s="1"/>
  <c r="L22" i="320" s="1"/>
  <c r="L23" i="320" s="1"/>
  <c r="L24" i="320" s="1"/>
  <c r="L25" i="320" s="1"/>
  <c r="L26" i="320" s="1"/>
  <c r="L27" i="320" s="1"/>
  <c r="L28" i="320" s="1"/>
  <c r="L29" i="320" s="1"/>
  <c r="L30" i="320" s="1"/>
  <c r="L31" i="320" s="1"/>
  <c r="L32" i="320" s="1"/>
  <c r="L33" i="320" s="1"/>
  <c r="L34" i="320" s="1"/>
  <c r="L35" i="320" s="1"/>
  <c r="L36" i="320" s="1"/>
  <c r="L37" i="320" s="1"/>
  <c r="L38" i="320" s="1"/>
  <c r="L39" i="320" s="1"/>
  <c r="L40" i="320" s="1"/>
  <c r="L41" i="320" s="1"/>
  <c r="L42" i="320" s="1"/>
  <c r="L43" i="320" s="1"/>
  <c r="L44" i="320" s="1"/>
  <c r="L45" i="320" s="1"/>
  <c r="L46" i="320" s="1"/>
  <c r="L47" i="320" s="1"/>
  <c r="L48" i="320" s="1"/>
  <c r="L49" i="320" s="1"/>
  <c r="L50" i="320" s="1"/>
  <c r="L51" i="320" s="1"/>
  <c r="L52" i="320" s="1"/>
  <c r="L53" i="320" s="1"/>
  <c r="L54" i="320" s="1"/>
  <c r="L55" i="320" s="1"/>
  <c r="L56" i="320" s="1"/>
  <c r="L57" i="320" s="1"/>
  <c r="L58" i="320" s="1"/>
  <c r="L59" i="320" s="1"/>
  <c r="L60" i="320" s="1"/>
  <c r="L61" i="320" s="1"/>
  <c r="L62" i="320" s="1"/>
  <c r="L63" i="320" s="1"/>
  <c r="L64" i="320" s="1"/>
  <c r="L65" i="320" s="1"/>
  <c r="L66" i="320" s="1"/>
  <c r="L67" i="320" s="1"/>
  <c r="L68" i="320" s="1"/>
  <c r="L69" i="320" s="1"/>
  <c r="L70" i="320" s="1"/>
  <c r="L71" i="320" s="1"/>
  <c r="L72" i="320" s="1"/>
  <c r="L73" i="320" s="1"/>
  <c r="L74" i="320" s="1"/>
  <c r="L75" i="320" s="1"/>
  <c r="L76" i="320" s="1"/>
  <c r="L77" i="320" s="1"/>
  <c r="L78" i="320" s="1"/>
  <c r="L79" i="320" s="1"/>
  <c r="L80" i="320" s="1"/>
  <c r="L81" i="320" s="1"/>
  <c r="L82" i="320" s="1"/>
  <c r="L83" i="320" s="1"/>
  <c r="L84" i="320" s="1"/>
  <c r="L85" i="320" s="1"/>
  <c r="L86" i="320" s="1"/>
  <c r="L87" i="320" s="1"/>
  <c r="L88" i="320" s="1"/>
  <c r="L89" i="320" s="1"/>
  <c r="L90" i="320" s="1"/>
  <c r="L91" i="320" s="1"/>
  <c r="L92" i="320" s="1"/>
  <c r="L93" i="320" s="1"/>
  <c r="L94" i="320" s="1"/>
  <c r="L95" i="320" s="1"/>
  <c r="L96" i="320" s="1"/>
  <c r="L97" i="320" s="1"/>
  <c r="L98" i="320" s="1"/>
  <c r="L99" i="320" s="1"/>
  <c r="L100" i="320" s="1"/>
  <c r="L101" i="320" s="1"/>
  <c r="L102" i="320" s="1"/>
  <c r="L103" i="320" s="1"/>
  <c r="L105" i="320" s="1"/>
  <c r="O75" i="320"/>
  <c r="O70" i="320"/>
  <c r="O76" i="320"/>
  <c r="O68" i="320"/>
  <c r="O67" i="320"/>
  <c r="O72" i="320"/>
  <c r="O60" i="320"/>
  <c r="O80" i="320"/>
  <c r="O79" i="320"/>
  <c r="O77" i="320"/>
  <c r="O61" i="320"/>
  <c r="O63" i="320"/>
  <c r="O59" i="320"/>
  <c r="O62" i="320"/>
  <c r="O65" i="320"/>
  <c r="O83" i="320"/>
  <c r="AT10" i="320"/>
  <c r="AU10" i="320" s="1"/>
  <c r="N2" i="320"/>
  <c r="K119" i="320"/>
  <c r="K145" i="320" s="1"/>
  <c r="J145" i="320"/>
  <c r="J152" i="320" s="1"/>
  <c r="O64" i="320"/>
  <c r="O78" i="320"/>
  <c r="O69" i="320"/>
  <c r="O73" i="320"/>
  <c r="K117" i="320"/>
  <c r="K143" i="320" s="1"/>
  <c r="O87" i="320"/>
  <c r="AA5" i="320"/>
  <c r="K129" i="319"/>
  <c r="K137" i="319"/>
  <c r="K150" i="319" s="1"/>
  <c r="AT18" i="319"/>
  <c r="AU18" i="319" s="1"/>
  <c r="AC43" i="319"/>
  <c r="V47" i="319"/>
  <c r="V56" i="319"/>
  <c r="V78" i="319"/>
  <c r="V88" i="319"/>
  <c r="V103" i="319"/>
  <c r="V32" i="319"/>
  <c r="V48" i="319"/>
  <c r="V71" i="319"/>
  <c r="V96" i="319"/>
  <c r="V100" i="319"/>
  <c r="V33" i="319"/>
  <c r="AC44" i="319"/>
  <c r="V85" i="319"/>
  <c r="J148" i="319"/>
  <c r="V74" i="319"/>
  <c r="V99" i="319"/>
  <c r="AT5" i="319"/>
  <c r="AU5" i="319" s="1"/>
  <c r="V51" i="319"/>
  <c r="V107" i="319" s="1"/>
  <c r="V109" i="319" s="1"/>
  <c r="V59" i="319"/>
  <c r="V60" i="319"/>
  <c r="V86" i="319"/>
  <c r="V89" i="319"/>
  <c r="I145" i="319"/>
  <c r="Z10" i="319"/>
  <c r="AA10" i="319" s="1"/>
  <c r="AE26" i="319"/>
  <c r="AE27" i="319" s="1"/>
  <c r="V70" i="319"/>
  <c r="V77" i="319"/>
  <c r="AT9" i="319"/>
  <c r="AU9" i="319" s="1"/>
  <c r="V63" i="319"/>
  <c r="V90" i="319"/>
  <c r="V95" i="319"/>
  <c r="J141" i="319"/>
  <c r="K133" i="319"/>
  <c r="K135" i="319"/>
  <c r="AA9" i="319"/>
  <c r="V75" i="319"/>
  <c r="V83" i="319"/>
  <c r="J119" i="319"/>
  <c r="K119" i="319" s="1"/>
  <c r="K132" i="319"/>
  <c r="AH12" i="319"/>
  <c r="V21" i="319"/>
  <c r="Z37" i="319"/>
  <c r="V40" i="319"/>
  <c r="V42" i="319"/>
  <c r="V45" i="319"/>
  <c r="V52" i="319"/>
  <c r="V55" i="319"/>
  <c r="V68" i="319"/>
  <c r="V72" i="319"/>
  <c r="V76" i="319"/>
  <c r="V91" i="319"/>
  <c r="V97" i="319"/>
  <c r="AT16" i="319"/>
  <c r="AU16" i="319" s="1"/>
  <c r="V35" i="319"/>
  <c r="V36" i="319"/>
  <c r="V37" i="319"/>
  <c r="AC45" i="319"/>
  <c r="V58" i="319"/>
  <c r="AB61" i="319"/>
  <c r="V61" i="319"/>
  <c r="V69" i="319"/>
  <c r="V79" i="319"/>
  <c r="V82" i="319"/>
  <c r="N85" i="319"/>
  <c r="O86" i="319" s="1"/>
  <c r="V101" i="319"/>
  <c r="J121" i="319"/>
  <c r="J147" i="319" s="1"/>
  <c r="K128" i="319"/>
  <c r="K130" i="319"/>
  <c r="I147" i="319"/>
  <c r="V18" i="319"/>
  <c r="AT12" i="319"/>
  <c r="AU12" i="319" s="1"/>
  <c r="V10" i="319"/>
  <c r="V11" i="319"/>
  <c r="V22" i="319"/>
  <c r="V8" i="319"/>
  <c r="V12" i="319"/>
  <c r="V13" i="319"/>
  <c r="V39" i="319"/>
  <c r="AT13" i="319"/>
  <c r="AU13" i="319" s="1"/>
  <c r="V31" i="319"/>
  <c r="V38" i="319"/>
  <c r="V44" i="319"/>
  <c r="AT14" i="319"/>
  <c r="AU14" i="319" s="1"/>
  <c r="V34" i="319"/>
  <c r="V43" i="319"/>
  <c r="V50" i="319"/>
  <c r="V54" i="319"/>
  <c r="S9" i="319"/>
  <c r="V9" i="319" s="1"/>
  <c r="V26" i="319"/>
  <c r="V15" i="319"/>
  <c r="V24" i="319"/>
  <c r="V25" i="319"/>
  <c r="V20" i="319"/>
  <c r="V28" i="319"/>
  <c r="K125" i="319"/>
  <c r="V3" i="319"/>
  <c r="J117" i="319"/>
  <c r="J143" i="319" s="1"/>
  <c r="V14" i="319"/>
  <c r="V16" i="319"/>
  <c r="V29" i="319"/>
  <c r="V23" i="319"/>
  <c r="I143" i="319"/>
  <c r="AO73" i="319"/>
  <c r="AT4" i="319"/>
  <c r="AU4" i="319" s="1"/>
  <c r="V2" i="319"/>
  <c r="AT6" i="319"/>
  <c r="AU6" i="319" s="1"/>
  <c r="AT8" i="319"/>
  <c r="AU8" i="319" s="1"/>
  <c r="I141" i="319"/>
  <c r="K115" i="319"/>
  <c r="AT7" i="319"/>
  <c r="AU7" i="319" s="1"/>
  <c r="T105" i="319"/>
  <c r="AC36" i="319"/>
  <c r="AC35" i="319"/>
  <c r="AD34" i="319"/>
  <c r="AE34" i="319" s="1"/>
  <c r="N27" i="319"/>
  <c r="O50" i="319" s="1"/>
  <c r="O93" i="319"/>
  <c r="AT11" i="319"/>
  <c r="AU11" i="319" s="1"/>
  <c r="V4" i="319"/>
  <c r="V5" i="319"/>
  <c r="V6" i="319"/>
  <c r="V17" i="319"/>
  <c r="V19" i="319"/>
  <c r="V27" i="319"/>
  <c r="V30" i="319"/>
  <c r="AA81" i="319"/>
  <c r="AA86" i="319" s="1"/>
  <c r="AB86" i="319" s="1"/>
  <c r="AC86" i="319" s="1"/>
  <c r="AD86" i="319" s="1"/>
  <c r="AD87" i="319" s="1"/>
  <c r="AD88" i="319" s="1"/>
  <c r="AI79" i="319"/>
  <c r="AT15" i="319"/>
  <c r="AU15" i="319" s="1"/>
  <c r="H105" i="319"/>
  <c r="H107" i="319" s="1"/>
  <c r="H108" i="319" s="1"/>
  <c r="S7" i="319"/>
  <c r="V7" i="319" s="1"/>
  <c r="K7" i="319"/>
  <c r="AA42" i="319"/>
  <c r="Q105" i="319"/>
  <c r="AT19" i="319"/>
  <c r="AU19" i="319" s="1"/>
  <c r="AT22" i="319"/>
  <c r="AU22" i="319" s="1"/>
  <c r="AA15" i="319"/>
  <c r="Z16" i="319"/>
  <c r="AA16" i="319" s="1"/>
  <c r="V41" i="319"/>
  <c r="V49" i="319"/>
  <c r="V53" i="319"/>
  <c r="N56" i="319"/>
  <c r="O74" i="319" s="1"/>
  <c r="V57" i="319"/>
  <c r="AB62" i="319"/>
  <c r="AC61" i="319"/>
  <c r="AA68" i="319" s="1"/>
  <c r="V62" i="319"/>
  <c r="J149" i="319"/>
  <c r="K123" i="319"/>
  <c r="AT17" i="319"/>
  <c r="AU17" i="319" s="1"/>
  <c r="N50" i="319"/>
  <c r="U105" i="319"/>
  <c r="AD4" i="319" s="1"/>
  <c r="AB42" i="319"/>
  <c r="V46" i="319"/>
  <c r="AI59" i="319"/>
  <c r="I142" i="319"/>
  <c r="J116" i="319"/>
  <c r="I144" i="319"/>
  <c r="J118" i="319"/>
  <c r="I120" i="319"/>
  <c r="I148" i="319"/>
  <c r="K122" i="319"/>
  <c r="I150" i="319"/>
  <c r="J124" i="319"/>
  <c r="J150" i="319" s="1"/>
  <c r="K136" i="319"/>
  <c r="N81" i="319"/>
  <c r="O82" i="319" s="1"/>
  <c r="V81" i="319"/>
  <c r="V92" i="319"/>
  <c r="V93" i="319"/>
  <c r="N94" i="319"/>
  <c r="V94" i="319"/>
  <c r="V98" i="319"/>
  <c r="V102" i="319"/>
  <c r="I151" i="319"/>
  <c r="K151" i="319" s="1"/>
  <c r="V64" i="319"/>
  <c r="V65" i="319"/>
  <c r="V66" i="319"/>
  <c r="V67" i="319"/>
  <c r="V73" i="319"/>
  <c r="V80" i="319"/>
  <c r="V84" i="319"/>
  <c r="X84" i="319" s="1"/>
  <c r="V87" i="319"/>
  <c r="K134" i="319"/>
  <c r="AD3" i="172"/>
  <c r="X24" i="333" l="1"/>
  <c r="W25" i="333"/>
  <c r="X17" i="332"/>
  <c r="W18" i="332"/>
  <c r="W19" i="332" s="1"/>
  <c r="W18" i="331"/>
  <c r="W19" i="331" s="1"/>
  <c r="X17" i="331"/>
  <c r="X15" i="330"/>
  <c r="W16" i="330"/>
  <c r="W15" i="329"/>
  <c r="X14" i="329"/>
  <c r="W13" i="328"/>
  <c r="X12" i="328"/>
  <c r="W15" i="327"/>
  <c r="X14" i="327"/>
  <c r="X10" i="326"/>
  <c r="W11" i="326"/>
  <c r="X10" i="325"/>
  <c r="W11" i="325"/>
  <c r="AD81" i="323"/>
  <c r="AF80" i="323"/>
  <c r="AF81" i="323" s="1"/>
  <c r="AK78" i="323"/>
  <c r="AL79" i="323" s="1"/>
  <c r="AL75" i="323"/>
  <c r="AL78" i="323" s="1"/>
  <c r="W7" i="323"/>
  <c r="X6" i="323"/>
  <c r="AE81" i="323"/>
  <c r="X5" i="322"/>
  <c r="W6" i="322"/>
  <c r="AE80" i="322"/>
  <c r="AD61" i="322"/>
  <c r="AC81" i="322"/>
  <c r="AD80" i="322"/>
  <c r="AD62" i="322"/>
  <c r="AL75" i="322"/>
  <c r="AE5" i="321"/>
  <c r="AE78" i="321"/>
  <c r="AN75" i="321"/>
  <c r="AN76" i="321" s="1"/>
  <c r="Z70" i="321"/>
  <c r="AB17" i="321"/>
  <c r="X3" i="321"/>
  <c r="W4" i="321"/>
  <c r="AB79" i="321"/>
  <c r="AD79" i="321" s="1"/>
  <c r="AK76" i="321" s="1"/>
  <c r="AL76" i="321" s="1"/>
  <c r="AD59" i="321"/>
  <c r="Z62" i="321"/>
  <c r="AC80" i="321"/>
  <c r="AB47" i="321"/>
  <c r="AA62" i="321"/>
  <c r="AA61" i="321"/>
  <c r="AE70" i="321" s="1"/>
  <c r="AD60" i="321"/>
  <c r="AE80" i="321" s="1"/>
  <c r="AD78" i="321"/>
  <c r="AF5" i="321"/>
  <c r="AB36" i="321"/>
  <c r="AA37" i="321"/>
  <c r="AB37" i="321" s="1"/>
  <c r="Z5" i="320"/>
  <c r="AB4" i="320"/>
  <c r="Z58" i="320" s="1"/>
  <c r="W2" i="320"/>
  <c r="X2" i="320" s="1"/>
  <c r="AA60" i="320"/>
  <c r="AD60" i="320" s="1"/>
  <c r="AE80" i="320" s="1"/>
  <c r="AA36" i="320"/>
  <c r="AB36" i="320" s="1"/>
  <c r="AD5" i="320"/>
  <c r="AA34" i="320" s="1"/>
  <c r="AB34" i="320" s="1"/>
  <c r="AF11" i="320"/>
  <c r="AF9" i="320" s="1"/>
  <c r="AE3" i="320"/>
  <c r="AF3" i="320" s="1"/>
  <c r="N105" i="320"/>
  <c r="O29" i="320"/>
  <c r="O20" i="320"/>
  <c r="O27" i="320"/>
  <c r="O22" i="320"/>
  <c r="O17" i="320"/>
  <c r="O25" i="320"/>
  <c r="O19" i="320"/>
  <c r="O10" i="320"/>
  <c r="O3" i="320"/>
  <c r="O26" i="320"/>
  <c r="O14" i="320"/>
  <c r="O13" i="320"/>
  <c r="O28" i="320"/>
  <c r="O4" i="320"/>
  <c r="O2" i="320"/>
  <c r="O11" i="320"/>
  <c r="O16" i="320"/>
  <c r="O15" i="320"/>
  <c r="O12" i="320"/>
  <c r="O5" i="320"/>
  <c r="O8" i="320"/>
  <c r="O24" i="320"/>
  <c r="O6" i="320"/>
  <c r="O9" i="320"/>
  <c r="AE37" i="320"/>
  <c r="O7" i="320"/>
  <c r="AB35" i="320"/>
  <c r="AD37" i="320"/>
  <c r="AG3" i="320"/>
  <c r="W3" i="320"/>
  <c r="I152" i="320"/>
  <c r="K120" i="320"/>
  <c r="K146" i="320" s="1"/>
  <c r="K152" i="320" s="1"/>
  <c r="AB80" i="320"/>
  <c r="Z53" i="320"/>
  <c r="S107" i="320"/>
  <c r="AC4" i="320"/>
  <c r="Z14" i="319"/>
  <c r="AA4" i="319" s="1"/>
  <c r="J145" i="319"/>
  <c r="O89" i="319"/>
  <c r="AA3" i="319"/>
  <c r="O49" i="319"/>
  <c r="O34" i="319"/>
  <c r="O38" i="319"/>
  <c r="O44" i="319"/>
  <c r="O54" i="319"/>
  <c r="O53" i="319"/>
  <c r="O41" i="319"/>
  <c r="O56" i="319"/>
  <c r="O36" i="319"/>
  <c r="O35" i="319"/>
  <c r="O85" i="319"/>
  <c r="K148" i="319"/>
  <c r="O90" i="319"/>
  <c r="O87" i="319"/>
  <c r="O88" i="319"/>
  <c r="O91" i="319"/>
  <c r="K145" i="319"/>
  <c r="O92" i="319"/>
  <c r="K121" i="319"/>
  <c r="K147" i="319" s="1"/>
  <c r="K141" i="319"/>
  <c r="O32" i="319"/>
  <c r="K117" i="319"/>
  <c r="K143" i="319" s="1"/>
  <c r="O80" i="319"/>
  <c r="O67" i="319"/>
  <c r="O64" i="319"/>
  <c r="O63" i="319"/>
  <c r="O59" i="319"/>
  <c r="O57" i="319"/>
  <c r="O66" i="319"/>
  <c r="AT10" i="319"/>
  <c r="AU10" i="319" s="1"/>
  <c r="AA69" i="319"/>
  <c r="O62" i="319"/>
  <c r="K149" i="319"/>
  <c r="O61" i="319"/>
  <c r="O58" i="319"/>
  <c r="AC37" i="319"/>
  <c r="V105" i="319"/>
  <c r="O77" i="319"/>
  <c r="J144" i="319"/>
  <c r="K118" i="319"/>
  <c r="K144" i="319" s="1"/>
  <c r="O79" i="319"/>
  <c r="O78" i="319"/>
  <c r="O60" i="319"/>
  <c r="AC42" i="319"/>
  <c r="O76" i="319"/>
  <c r="O47" i="319"/>
  <c r="O45" i="319"/>
  <c r="O30" i="319"/>
  <c r="O55" i="319"/>
  <c r="O43" i="319"/>
  <c r="O46" i="319"/>
  <c r="O39" i="319"/>
  <c r="O33" i="319"/>
  <c r="O42" i="319"/>
  <c r="O31" i="319"/>
  <c r="AD36" i="319"/>
  <c r="AE36" i="319" s="1"/>
  <c r="AD35" i="319"/>
  <c r="AD37" i="319" s="1"/>
  <c r="N2" i="319"/>
  <c r="AF10" i="319"/>
  <c r="AA35" i="319"/>
  <c r="Z60" i="319"/>
  <c r="AD28" i="319"/>
  <c r="O69" i="319"/>
  <c r="O65" i="319"/>
  <c r="O71" i="319"/>
  <c r="T107" i="319"/>
  <c r="AB4" i="319"/>
  <c r="O103" i="319"/>
  <c r="O99" i="319"/>
  <c r="O95" i="319"/>
  <c r="O101" i="319"/>
  <c r="O97" i="319"/>
  <c r="O100" i="319"/>
  <c r="O96" i="319"/>
  <c r="O102" i="319"/>
  <c r="O94" i="319"/>
  <c r="O98" i="319"/>
  <c r="J142" i="319"/>
  <c r="K116" i="319"/>
  <c r="K142" i="319" s="1"/>
  <c r="O70" i="319"/>
  <c r="O75" i="319"/>
  <c r="L2" i="319"/>
  <c r="L3" i="319" s="1"/>
  <c r="L4" i="319" s="1"/>
  <c r="L5" i="319" s="1"/>
  <c r="L6" i="319" s="1"/>
  <c r="L7" i="319" s="1"/>
  <c r="L8" i="319" s="1"/>
  <c r="L9" i="319" s="1"/>
  <c r="L10" i="319" s="1"/>
  <c r="L11" i="319" s="1"/>
  <c r="L12" i="319" s="1"/>
  <c r="L13" i="319" s="1"/>
  <c r="L14" i="319" s="1"/>
  <c r="L15" i="319" s="1"/>
  <c r="L16" i="319" s="1"/>
  <c r="L17" i="319" s="1"/>
  <c r="L18" i="319" s="1"/>
  <c r="L19" i="319" s="1"/>
  <c r="L20" i="319" s="1"/>
  <c r="L21" i="319" s="1"/>
  <c r="L22" i="319" s="1"/>
  <c r="L23" i="319" s="1"/>
  <c r="L24" i="319" s="1"/>
  <c r="L25" i="319" s="1"/>
  <c r="L26" i="319" s="1"/>
  <c r="L27" i="319" s="1"/>
  <c r="L28" i="319" s="1"/>
  <c r="L29" i="319" s="1"/>
  <c r="L30" i="319" s="1"/>
  <c r="L31" i="319" s="1"/>
  <c r="L32" i="319" s="1"/>
  <c r="L33" i="319" s="1"/>
  <c r="L34" i="319" s="1"/>
  <c r="L35" i="319" s="1"/>
  <c r="L36" i="319" s="1"/>
  <c r="L37" i="319" s="1"/>
  <c r="L38" i="319" s="1"/>
  <c r="L39" i="319" s="1"/>
  <c r="L40" i="319" s="1"/>
  <c r="L41" i="319" s="1"/>
  <c r="L42" i="319" s="1"/>
  <c r="L43" i="319" s="1"/>
  <c r="L44" i="319" s="1"/>
  <c r="L45" i="319" s="1"/>
  <c r="L46" i="319" s="1"/>
  <c r="L47" i="319" s="1"/>
  <c r="L48" i="319" s="1"/>
  <c r="L49" i="319" s="1"/>
  <c r="L50" i="319" s="1"/>
  <c r="L51" i="319" s="1"/>
  <c r="L52" i="319" s="1"/>
  <c r="L53" i="319" s="1"/>
  <c r="L54" i="319" s="1"/>
  <c r="L55" i="319" s="1"/>
  <c r="L56" i="319" s="1"/>
  <c r="L57" i="319" s="1"/>
  <c r="L58" i="319" s="1"/>
  <c r="L59" i="319" s="1"/>
  <c r="L60" i="319" s="1"/>
  <c r="L61" i="319" s="1"/>
  <c r="L62" i="319" s="1"/>
  <c r="L63" i="319" s="1"/>
  <c r="L64" i="319" s="1"/>
  <c r="L65" i="319" s="1"/>
  <c r="L66" i="319" s="1"/>
  <c r="L67" i="319" s="1"/>
  <c r="L68" i="319" s="1"/>
  <c r="L69" i="319" s="1"/>
  <c r="L70" i="319" s="1"/>
  <c r="L71" i="319" s="1"/>
  <c r="L72" i="319" s="1"/>
  <c r="L73" i="319" s="1"/>
  <c r="L74" i="319" s="1"/>
  <c r="L75" i="319" s="1"/>
  <c r="L76" i="319" s="1"/>
  <c r="L77" i="319" s="1"/>
  <c r="L78" i="319" s="1"/>
  <c r="L79" i="319" s="1"/>
  <c r="L80" i="319" s="1"/>
  <c r="L81" i="319" s="1"/>
  <c r="L82" i="319" s="1"/>
  <c r="L83" i="319" s="1"/>
  <c r="L84" i="319" s="1"/>
  <c r="L85" i="319" s="1"/>
  <c r="L86" i="319" s="1"/>
  <c r="L87" i="319" s="1"/>
  <c r="L88" i="319" s="1"/>
  <c r="L89" i="319" s="1"/>
  <c r="L90" i="319" s="1"/>
  <c r="L91" i="319" s="1"/>
  <c r="L92" i="319" s="1"/>
  <c r="L93" i="319" s="1"/>
  <c r="L94" i="319" s="1"/>
  <c r="L95" i="319" s="1"/>
  <c r="L96" i="319" s="1"/>
  <c r="L97" i="319" s="1"/>
  <c r="L98" i="319" s="1"/>
  <c r="L99" i="319" s="1"/>
  <c r="L100" i="319" s="1"/>
  <c r="L101" i="319" s="1"/>
  <c r="L102" i="319" s="1"/>
  <c r="L103" i="319" s="1"/>
  <c r="L105" i="319" s="1"/>
  <c r="K105" i="319"/>
  <c r="K107" i="319" s="1"/>
  <c r="O83" i="319"/>
  <c r="O81" i="319"/>
  <c r="O84" i="319"/>
  <c r="I146" i="319"/>
  <c r="I152" i="319" s="1"/>
  <c r="J120" i="319"/>
  <c r="J146" i="319" s="1"/>
  <c r="O68" i="319"/>
  <c r="O72" i="319"/>
  <c r="O73" i="319"/>
  <c r="O37" i="319"/>
  <c r="S105" i="319"/>
  <c r="I7" i="172"/>
  <c r="H7" i="172"/>
  <c r="Z30" i="172"/>
  <c r="Z15" i="172"/>
  <c r="Z9" i="172"/>
  <c r="W26" i="333" l="1"/>
  <c r="X25" i="333"/>
  <c r="X19" i="332"/>
  <c r="W20" i="332"/>
  <c r="W21" i="332" s="1"/>
  <c r="W22" i="332" s="1"/>
  <c r="W20" i="331"/>
  <c r="W21" i="331" s="1"/>
  <c r="W22" i="331" s="1"/>
  <c r="X19" i="331"/>
  <c r="W17" i="330"/>
  <c r="X16" i="330"/>
  <c r="W16" i="329"/>
  <c r="X15" i="329"/>
  <c r="X13" i="328"/>
  <c r="W14" i="328"/>
  <c r="W16" i="327"/>
  <c r="X15" i="327"/>
  <c r="X11" i="326"/>
  <c r="W12" i="326"/>
  <c r="X11" i="325"/>
  <c r="W12" i="325"/>
  <c r="W8" i="323"/>
  <c r="X7" i="323"/>
  <c r="AF80" i="322"/>
  <c r="AF81" i="322" s="1"/>
  <c r="AE81" i="322"/>
  <c r="AK77" i="322"/>
  <c r="AD81" i="322"/>
  <c r="W7" i="322"/>
  <c r="X6" i="322"/>
  <c r="AB81" i="321"/>
  <c r="AE79" i="321"/>
  <c r="AF79" i="321" s="1"/>
  <c r="AJ59" i="321"/>
  <c r="AF78" i="321"/>
  <c r="AD62" i="321"/>
  <c r="AK75" i="321"/>
  <c r="AC81" i="321"/>
  <c r="AD80" i="321"/>
  <c r="AK77" i="321" s="1"/>
  <c r="AL77" i="321" s="1"/>
  <c r="X4" i="321"/>
  <c r="W5" i="321"/>
  <c r="AD61" i="321"/>
  <c r="AE4" i="320"/>
  <c r="AF4" i="320" s="1"/>
  <c r="AF5" i="320" s="1"/>
  <c r="AB5" i="320"/>
  <c r="AA37" i="320"/>
  <c r="AB37" i="320" s="1"/>
  <c r="Z59" i="320"/>
  <c r="Z61" i="320" s="1"/>
  <c r="AC5" i="320"/>
  <c r="AG4" i="320"/>
  <c r="AG5" i="320" s="1"/>
  <c r="X3" i="320"/>
  <c r="W4" i="320"/>
  <c r="AD58" i="320"/>
  <c r="AB78" i="320"/>
  <c r="AB47" i="320"/>
  <c r="AC80" i="320"/>
  <c r="AC81" i="320" s="1"/>
  <c r="AA61" i="320"/>
  <c r="AA62" i="320"/>
  <c r="Z18" i="319"/>
  <c r="Z24" i="319" s="1"/>
  <c r="W2" i="319" s="1"/>
  <c r="Z13" i="319"/>
  <c r="Z4" i="319" s="1"/>
  <c r="AD3" i="319"/>
  <c r="AG3" i="319" s="1"/>
  <c r="AA5" i="319"/>
  <c r="Z3" i="319"/>
  <c r="Z5" i="319" s="1"/>
  <c r="K120" i="319"/>
  <c r="K146" i="319" s="1"/>
  <c r="K152" i="319" s="1"/>
  <c r="AB35" i="319"/>
  <c r="Z58" i="319"/>
  <c r="AB5" i="319"/>
  <c r="AB80" i="319"/>
  <c r="Z53" i="319"/>
  <c r="AA60" i="319"/>
  <c r="AF11" i="319"/>
  <c r="AF9" i="319" s="1"/>
  <c r="AE3" i="319"/>
  <c r="AF3" i="319" s="1"/>
  <c r="AA36" i="319"/>
  <c r="AB36" i="319" s="1"/>
  <c r="S107" i="319"/>
  <c r="AC4" i="319"/>
  <c r="AE4" i="319" s="1"/>
  <c r="AF4" i="319" s="1"/>
  <c r="W3" i="319"/>
  <c r="X2" i="319"/>
  <c r="J152" i="319"/>
  <c r="N105" i="319"/>
  <c r="O27" i="319"/>
  <c r="O24" i="319"/>
  <c r="O22" i="319"/>
  <c r="O15" i="319"/>
  <c r="O10" i="319"/>
  <c r="O19" i="319"/>
  <c r="O17" i="319"/>
  <c r="O3" i="319"/>
  <c r="O20" i="319"/>
  <c r="O14" i="319"/>
  <c r="O25" i="319"/>
  <c r="O2" i="319"/>
  <c r="O8" i="319"/>
  <c r="O9" i="319"/>
  <c r="O13" i="319"/>
  <c r="O6" i="319"/>
  <c r="O5" i="319"/>
  <c r="O11" i="319"/>
  <c r="O12" i="319"/>
  <c r="O16" i="319"/>
  <c r="O4" i="319"/>
  <c r="O26" i="319"/>
  <c r="O29" i="319"/>
  <c r="O28" i="319"/>
  <c r="AE35" i="319"/>
  <c r="AE37" i="319" s="1"/>
  <c r="O7" i="319"/>
  <c r="W27" i="333" l="1"/>
  <c r="X26" i="333"/>
  <c r="W24" i="332"/>
  <c r="X22" i="332"/>
  <c r="W23" i="332"/>
  <c r="W23" i="331"/>
  <c r="X22" i="331"/>
  <c r="W24" i="331"/>
  <c r="X17" i="330"/>
  <c r="W18" i="330"/>
  <c r="W19" i="330" s="1"/>
  <c r="W17" i="329"/>
  <c r="X16" i="329"/>
  <c r="X14" i="328"/>
  <c r="W15" i="328"/>
  <c r="W17" i="327"/>
  <c r="X16" i="327"/>
  <c r="W13" i="326"/>
  <c r="X12" i="326"/>
  <c r="W13" i="325"/>
  <c r="X12" i="325"/>
  <c r="W9" i="323"/>
  <c r="X8" i="323"/>
  <c r="AL77" i="322"/>
  <c r="AL78" i="322" s="1"/>
  <c r="AK78" i="322"/>
  <c r="AL79" i="322" s="1"/>
  <c r="W8" i="322"/>
  <c r="X7" i="322"/>
  <c r="AE81" i="321"/>
  <c r="AK78" i="321"/>
  <c r="AL79" i="321" s="1"/>
  <c r="AL75" i="321"/>
  <c r="AL78" i="321" s="1"/>
  <c r="X5" i="321"/>
  <c r="W6" i="321"/>
  <c r="AF80" i="321"/>
  <c r="AF81" i="321" s="1"/>
  <c r="AD81" i="321"/>
  <c r="AE5" i="320"/>
  <c r="AE78" i="320"/>
  <c r="AN75" i="320"/>
  <c r="AN76" i="320" s="1"/>
  <c r="AB79" i="320"/>
  <c r="AD79" i="320" s="1"/>
  <c r="AK76" i="320" s="1"/>
  <c r="AL76" i="320" s="1"/>
  <c r="AD59" i="320"/>
  <c r="AD61" i="320" s="1"/>
  <c r="Z70" i="320"/>
  <c r="AE70" i="320"/>
  <c r="AB17" i="320"/>
  <c r="AD78" i="320"/>
  <c r="X4" i="320"/>
  <c r="W5" i="320"/>
  <c r="Z62" i="320"/>
  <c r="AD80" i="320"/>
  <c r="AD5" i="319"/>
  <c r="AA34" i="319" s="1"/>
  <c r="AB34" i="319" s="1"/>
  <c r="AG4" i="319"/>
  <c r="AG5" i="319" s="1"/>
  <c r="AB78" i="319"/>
  <c r="AD58" i="319"/>
  <c r="W4" i="319"/>
  <c r="X3" i="319"/>
  <c r="AF5" i="319"/>
  <c r="AA37" i="319"/>
  <c r="AB37" i="319" s="1"/>
  <c r="AC80" i="319"/>
  <c r="AC81" i="319" s="1"/>
  <c r="AB47" i="319"/>
  <c r="AA61" i="319"/>
  <c r="AA62" i="319"/>
  <c r="Z59" i="319"/>
  <c r="Z62" i="319" s="1"/>
  <c r="AC5" i="319"/>
  <c r="AE5" i="319" s="1"/>
  <c r="AD60" i="319"/>
  <c r="AE80" i="319" s="1"/>
  <c r="W28" i="333" l="1"/>
  <c r="X27" i="333"/>
  <c r="X24" i="332"/>
  <c r="W25" i="332"/>
  <c r="W25" i="331"/>
  <c r="X24" i="331"/>
  <c r="X19" i="330"/>
  <c r="W20" i="330"/>
  <c r="W21" i="330" s="1"/>
  <c r="W22" i="330" s="1"/>
  <c r="W18" i="329"/>
  <c r="W19" i="329" s="1"/>
  <c r="X17" i="329"/>
  <c r="W16" i="328"/>
  <c r="X15" i="328"/>
  <c r="X17" i="327"/>
  <c r="W18" i="327"/>
  <c r="W19" i="327" s="1"/>
  <c r="X13" i="326"/>
  <c r="W14" i="326"/>
  <c r="W14" i="325"/>
  <c r="X13" i="325"/>
  <c r="X9" i="323"/>
  <c r="W10" i="323"/>
  <c r="X8" i="322"/>
  <c r="W9" i="322"/>
  <c r="X6" i="321"/>
  <c r="W7" i="321"/>
  <c r="AB81" i="320"/>
  <c r="AE79" i="320"/>
  <c r="AF79" i="320" s="1"/>
  <c r="AJ59" i="320"/>
  <c r="AF78" i="320"/>
  <c r="AK77" i="320"/>
  <c r="AL77" i="320" s="1"/>
  <c r="AF80" i="320"/>
  <c r="AK75" i="320"/>
  <c r="AD81" i="320"/>
  <c r="X5" i="320"/>
  <c r="W6" i="320"/>
  <c r="AD62" i="320"/>
  <c r="AB79" i="319"/>
  <c r="AD79" i="319" s="1"/>
  <c r="AK76" i="319" s="1"/>
  <c r="AL76" i="319" s="1"/>
  <c r="AD59" i="319"/>
  <c r="Z61" i="319"/>
  <c r="AE78" i="319"/>
  <c r="AN75" i="319"/>
  <c r="AN76" i="319" s="1"/>
  <c r="AD80" i="319"/>
  <c r="AK77" i="319" s="1"/>
  <c r="AL77" i="319" s="1"/>
  <c r="X4" i="319"/>
  <c r="W5" i="319"/>
  <c r="AD78" i="319"/>
  <c r="W29" i="333" l="1"/>
  <c r="X28" i="333"/>
  <c r="W26" i="332"/>
  <c r="X25" i="332"/>
  <c r="W26" i="331"/>
  <c r="X25" i="331"/>
  <c r="X22" i="330"/>
  <c r="W24" i="330"/>
  <c r="W23" i="330"/>
  <c r="W20" i="329"/>
  <c r="W21" i="329" s="1"/>
  <c r="W22" i="329" s="1"/>
  <c r="X19" i="329"/>
  <c r="W17" i="328"/>
  <c r="X16" i="328"/>
  <c r="X19" i="327"/>
  <c r="W20" i="327"/>
  <c r="W21" i="327" s="1"/>
  <c r="W22" i="327" s="1"/>
  <c r="W15" i="326"/>
  <c r="X14" i="326"/>
  <c r="W15" i="325"/>
  <c r="X14" i="325"/>
  <c r="X10" i="323"/>
  <c r="W11" i="323"/>
  <c r="W10" i="322"/>
  <c r="X9" i="322"/>
  <c r="X7" i="321"/>
  <c r="W8" i="321"/>
  <c r="AF81" i="320"/>
  <c r="AE81" i="320"/>
  <c r="W7" i="320"/>
  <c r="X6" i="320"/>
  <c r="AL75" i="320"/>
  <c r="AL78" i="320" s="1"/>
  <c r="AK78" i="320"/>
  <c r="AL79" i="320" s="1"/>
  <c r="AB81" i="319"/>
  <c r="AE79" i="319"/>
  <c r="AF79" i="319" s="1"/>
  <c r="AJ59" i="319"/>
  <c r="AD81" i="319"/>
  <c r="AK75" i="319"/>
  <c r="AD62" i="319"/>
  <c r="AF80" i="319"/>
  <c r="W6" i="319"/>
  <c r="X5" i="319"/>
  <c r="AE70" i="319"/>
  <c r="Z70" i="319"/>
  <c r="AB17" i="319"/>
  <c r="AD61" i="319"/>
  <c r="AF78" i="319"/>
  <c r="X29" i="333" l="1"/>
  <c r="W30" i="333"/>
  <c r="W27" i="332"/>
  <c r="X26" i="332"/>
  <c r="X26" i="331"/>
  <c r="W27" i="331"/>
  <c r="X24" i="330"/>
  <c r="W25" i="330"/>
  <c r="X22" i="329"/>
  <c r="W23" i="329"/>
  <c r="W24" i="329"/>
  <c r="W18" i="328"/>
  <c r="W19" i="328" s="1"/>
  <c r="X17" i="328"/>
  <c r="W24" i="327"/>
  <c r="W23" i="327"/>
  <c r="X22" i="327"/>
  <c r="X15" i="326"/>
  <c r="W16" i="326"/>
  <c r="W16" i="325"/>
  <c r="X15" i="325"/>
  <c r="X11" i="323"/>
  <c r="W12" i="323"/>
  <c r="W11" i="322"/>
  <c r="X10" i="322"/>
  <c r="X8" i="321"/>
  <c r="W9" i="321"/>
  <c r="W8" i="320"/>
  <c r="X7" i="320"/>
  <c r="AE81" i="319"/>
  <c r="AF81" i="319"/>
  <c r="W7" i="319"/>
  <c r="X6" i="319"/>
  <c r="AK78" i="319"/>
  <c r="AL79" i="319" s="1"/>
  <c r="AL75" i="319"/>
  <c r="AL78" i="319" s="1"/>
  <c r="X30" i="333" l="1"/>
  <c r="W31" i="333"/>
  <c r="W28" i="332"/>
  <c r="X27" i="332"/>
  <c r="X27" i="331"/>
  <c r="W28" i="331"/>
  <c r="X25" i="330"/>
  <c r="W26" i="330"/>
  <c r="X24" i="329"/>
  <c r="W25" i="329"/>
  <c r="W20" i="328"/>
  <c r="W21" i="328" s="1"/>
  <c r="W22" i="328" s="1"/>
  <c r="X19" i="328"/>
  <c r="W25" i="327"/>
  <c r="X24" i="327"/>
  <c r="X16" i="326"/>
  <c r="W17" i="326"/>
  <c r="X16" i="325"/>
  <c r="W17" i="325"/>
  <c r="X12" i="323"/>
  <c r="W13" i="323"/>
  <c r="W12" i="322"/>
  <c r="X11" i="322"/>
  <c r="X9" i="321"/>
  <c r="W10" i="321"/>
  <c r="X8" i="320"/>
  <c r="W9" i="320"/>
  <c r="W8" i="319"/>
  <c r="X7" i="319"/>
  <c r="W32" i="333" l="1"/>
  <c r="X31" i="333"/>
  <c r="X28" i="332"/>
  <c r="W29" i="332"/>
  <c r="X28" i="331"/>
  <c r="W29" i="331"/>
  <c r="W27" i="330"/>
  <c r="X26" i="330"/>
  <c r="W26" i="329"/>
  <c r="X25" i="329"/>
  <c r="X22" i="328"/>
  <c r="W24" i="328"/>
  <c r="W23" i="328"/>
  <c r="W26" i="327"/>
  <c r="X25" i="327"/>
  <c r="X17" i="326"/>
  <c r="W18" i="326"/>
  <c r="W19" i="326" s="1"/>
  <c r="X17" i="325"/>
  <c r="W18" i="325"/>
  <c r="W19" i="325" s="1"/>
  <c r="W14" i="323"/>
  <c r="X13" i="323"/>
  <c r="W13" i="322"/>
  <c r="X12" i="322"/>
  <c r="W11" i="321"/>
  <c r="X10" i="321"/>
  <c r="W10" i="320"/>
  <c r="X9" i="320"/>
  <c r="W9" i="319"/>
  <c r="X8" i="319"/>
  <c r="W33" i="333" l="1"/>
  <c r="X32" i="333"/>
  <c r="X29" i="332"/>
  <c r="W30" i="332"/>
  <c r="X29" i="331"/>
  <c r="W30" i="331"/>
  <c r="X27" i="330"/>
  <c r="W28" i="330"/>
  <c r="X26" i="329"/>
  <c r="W27" i="329"/>
  <c r="X24" i="328"/>
  <c r="W25" i="328"/>
  <c r="X26" i="327"/>
  <c r="W27" i="327"/>
  <c r="X19" i="326"/>
  <c r="W20" i="326"/>
  <c r="W21" i="326" s="1"/>
  <c r="W22" i="326" s="1"/>
  <c r="X19" i="325"/>
  <c r="W20" i="325"/>
  <c r="W21" i="325" s="1"/>
  <c r="W22" i="325" s="1"/>
  <c r="W15" i="323"/>
  <c r="X14" i="323"/>
  <c r="W14" i="322"/>
  <c r="X13" i="322"/>
  <c r="X11" i="321"/>
  <c r="W12" i="321"/>
  <c r="W11" i="320"/>
  <c r="X10" i="320"/>
  <c r="W10" i="319"/>
  <c r="X9" i="319"/>
  <c r="W34" i="333" l="1"/>
  <c r="X33" i="333"/>
  <c r="W31" i="332"/>
  <c r="X30" i="332"/>
  <c r="W31" i="331"/>
  <c r="X30" i="331"/>
  <c r="W29" i="330"/>
  <c r="X28" i="330"/>
  <c r="X27" i="329"/>
  <c r="W28" i="329"/>
  <c r="W26" i="328"/>
  <c r="X25" i="328"/>
  <c r="W28" i="327"/>
  <c r="X27" i="327"/>
  <c r="W24" i="326"/>
  <c r="X22" i="326"/>
  <c r="W23" i="326"/>
  <c r="W24" i="325"/>
  <c r="W23" i="325"/>
  <c r="X22" i="325"/>
  <c r="W16" i="323"/>
  <c r="X15" i="323"/>
  <c r="W15" i="322"/>
  <c r="X14" i="322"/>
  <c r="X12" i="321"/>
  <c r="W13" i="321"/>
  <c r="W12" i="320"/>
  <c r="X11" i="320"/>
  <c r="W11" i="319"/>
  <c r="X10" i="319"/>
  <c r="W35" i="333" l="1"/>
  <c r="X34" i="333"/>
  <c r="X31" i="332"/>
  <c r="W32" i="332"/>
  <c r="W32" i="331"/>
  <c r="X31" i="331"/>
  <c r="W30" i="330"/>
  <c r="X29" i="330"/>
  <c r="X28" i="329"/>
  <c r="W29" i="329"/>
  <c r="W27" i="328"/>
  <c r="X26" i="328"/>
  <c r="W29" i="327"/>
  <c r="X28" i="327"/>
  <c r="W25" i="326"/>
  <c r="X24" i="326"/>
  <c r="X24" i="325"/>
  <c r="W25" i="325"/>
  <c r="W17" i="323"/>
  <c r="X16" i="323"/>
  <c r="W16" i="322"/>
  <c r="X15" i="322"/>
  <c r="W14" i="321"/>
  <c r="X13" i="321"/>
  <c r="X12" i="320"/>
  <c r="W13" i="320"/>
  <c r="W12" i="319"/>
  <c r="X11" i="319"/>
  <c r="X35" i="333" l="1"/>
  <c r="W36" i="333"/>
  <c r="W33" i="332"/>
  <c r="X32" i="332"/>
  <c r="W33" i="331"/>
  <c r="X32" i="331"/>
  <c r="X30" i="330"/>
  <c r="W31" i="330"/>
  <c r="X29" i="329"/>
  <c r="W30" i="329"/>
  <c r="X27" i="328"/>
  <c r="W28" i="328"/>
  <c r="W30" i="327"/>
  <c r="X29" i="327"/>
  <c r="X25" i="326"/>
  <c r="W26" i="326"/>
  <c r="W26" i="325"/>
  <c r="X25" i="325"/>
  <c r="W18" i="323"/>
  <c r="W19" i="323" s="1"/>
  <c r="X17" i="323"/>
  <c r="X16" i="322"/>
  <c r="W17" i="322"/>
  <c r="W15" i="321"/>
  <c r="X14" i="321"/>
  <c r="W14" i="320"/>
  <c r="X13" i="320"/>
  <c r="X12" i="319"/>
  <c r="W13" i="319"/>
  <c r="X36" i="333" l="1"/>
  <c r="W37" i="333"/>
  <c r="W34" i="332"/>
  <c r="X33" i="332"/>
  <c r="W34" i="331"/>
  <c r="X33" i="331"/>
  <c r="W32" i="330"/>
  <c r="X31" i="330"/>
  <c r="X30" i="329"/>
  <c r="W31" i="329"/>
  <c r="W29" i="328"/>
  <c r="X28" i="328"/>
  <c r="W31" i="327"/>
  <c r="X30" i="327"/>
  <c r="W27" i="326"/>
  <c r="X26" i="326"/>
  <c r="W27" i="325"/>
  <c r="X26" i="325"/>
  <c r="W20" i="323"/>
  <c r="W21" i="323" s="1"/>
  <c r="W22" i="323" s="1"/>
  <c r="X19" i="323"/>
  <c r="X17" i="322"/>
  <c r="W18" i="322"/>
  <c r="W19" i="322" s="1"/>
  <c r="W16" i="321"/>
  <c r="X15" i="321"/>
  <c r="W15" i="320"/>
  <c r="X14" i="320"/>
  <c r="W14" i="319"/>
  <c r="X13" i="319"/>
  <c r="X37" i="333" l="1"/>
  <c r="W38" i="333"/>
  <c r="X34" i="332"/>
  <c r="W35" i="332"/>
  <c r="W35" i="331"/>
  <c r="X34" i="331"/>
  <c r="X32" i="330"/>
  <c r="W33" i="330"/>
  <c r="W32" i="329"/>
  <c r="X31" i="329"/>
  <c r="W30" i="328"/>
  <c r="X29" i="328"/>
  <c r="X31" i="327"/>
  <c r="W32" i="327"/>
  <c r="X27" i="326"/>
  <c r="W28" i="326"/>
  <c r="W28" i="325"/>
  <c r="X27" i="325"/>
  <c r="X22" i="323"/>
  <c r="W23" i="323"/>
  <c r="W24" i="323"/>
  <c r="X19" i="322"/>
  <c r="W20" i="322"/>
  <c r="W21" i="322" s="1"/>
  <c r="W22" i="322" s="1"/>
  <c r="W17" i="321"/>
  <c r="X16" i="321"/>
  <c r="W16" i="320"/>
  <c r="X15" i="320"/>
  <c r="W15" i="319"/>
  <c r="X14" i="319"/>
  <c r="X38" i="333" l="1"/>
  <c r="W39" i="333"/>
  <c r="X35" i="332"/>
  <c r="W36" i="332"/>
  <c r="W36" i="331"/>
  <c r="X35" i="331"/>
  <c r="W34" i="330"/>
  <c r="X33" i="330"/>
  <c r="W33" i="329"/>
  <c r="X32" i="329"/>
  <c r="X30" i="328"/>
  <c r="W31" i="328"/>
  <c r="X32" i="327"/>
  <c r="W33" i="327"/>
  <c r="X28" i="326"/>
  <c r="W29" i="326"/>
  <c r="W29" i="325"/>
  <c r="X28" i="325"/>
  <c r="X24" i="323"/>
  <c r="W25" i="323"/>
  <c r="W24" i="322"/>
  <c r="W23" i="322"/>
  <c r="X22" i="322"/>
  <c r="W18" i="321"/>
  <c r="W19" i="321" s="1"/>
  <c r="X17" i="321"/>
  <c r="W17" i="320"/>
  <c r="X16" i="320"/>
  <c r="X15" i="319"/>
  <c r="W16" i="319"/>
  <c r="W40" i="333" l="1"/>
  <c r="W41" i="333" s="1"/>
  <c r="X39" i="333"/>
  <c r="X36" i="332"/>
  <c r="W37" i="332"/>
  <c r="W37" i="331"/>
  <c r="X36" i="331"/>
  <c r="W35" i="330"/>
  <c r="X34" i="330"/>
  <c r="W34" i="329"/>
  <c r="X33" i="329"/>
  <c r="W32" i="328"/>
  <c r="X31" i="328"/>
  <c r="X33" i="327"/>
  <c r="W34" i="327"/>
  <c r="W30" i="326"/>
  <c r="X29" i="326"/>
  <c r="W30" i="325"/>
  <c r="X29" i="325"/>
  <c r="W26" i="323"/>
  <c r="X25" i="323"/>
  <c r="X24" i="322"/>
  <c r="W25" i="322"/>
  <c r="W20" i="321"/>
  <c r="W21" i="321" s="1"/>
  <c r="W22" i="321" s="1"/>
  <c r="X19" i="321"/>
  <c r="W18" i="320"/>
  <c r="W19" i="320" s="1"/>
  <c r="X17" i="320"/>
  <c r="X16" i="319"/>
  <c r="W17" i="319"/>
  <c r="X41" i="333" l="1"/>
  <c r="W42" i="333"/>
  <c r="X37" i="332"/>
  <c r="W38" i="332"/>
  <c r="W38" i="331"/>
  <c r="X37" i="331"/>
  <c r="X35" i="330"/>
  <c r="W36" i="330"/>
  <c r="W35" i="329"/>
  <c r="X34" i="329"/>
  <c r="W33" i="328"/>
  <c r="X32" i="328"/>
  <c r="W35" i="327"/>
  <c r="X34" i="327"/>
  <c r="X30" i="326"/>
  <c r="W31" i="326"/>
  <c r="W31" i="325"/>
  <c r="X30" i="325"/>
  <c r="X26" i="323"/>
  <c r="W27" i="323"/>
  <c r="X25" i="322"/>
  <c r="W26" i="322"/>
  <c r="W23" i="321"/>
  <c r="X22" i="321"/>
  <c r="W24" i="321"/>
  <c r="W20" i="320"/>
  <c r="W21" i="320" s="1"/>
  <c r="W22" i="320" s="1"/>
  <c r="X19" i="320"/>
  <c r="X17" i="319"/>
  <c r="W18" i="319"/>
  <c r="W19" i="319" s="1"/>
  <c r="W43" i="333" l="1"/>
  <c r="X42" i="333"/>
  <c r="W39" i="332"/>
  <c r="X38" i="332"/>
  <c r="W39" i="331"/>
  <c r="X38" i="331"/>
  <c r="W37" i="330"/>
  <c r="X36" i="330"/>
  <c r="X35" i="329"/>
  <c r="W36" i="329"/>
  <c r="W34" i="328"/>
  <c r="X33" i="328"/>
  <c r="W36" i="327"/>
  <c r="X35" i="327"/>
  <c r="X31" i="326"/>
  <c r="W32" i="326"/>
  <c r="W32" i="325"/>
  <c r="X31" i="325"/>
  <c r="X27" i="323"/>
  <c r="W28" i="323"/>
  <c r="W27" i="322"/>
  <c r="X26" i="322"/>
  <c r="W25" i="321"/>
  <c r="X24" i="321"/>
  <c r="W23" i="320"/>
  <c r="W24" i="320"/>
  <c r="X22" i="320"/>
  <c r="X19" i="319"/>
  <c r="W20" i="319"/>
  <c r="W21" i="319" s="1"/>
  <c r="W22" i="319" s="1"/>
  <c r="X43" i="333" l="1"/>
  <c r="W44" i="333"/>
  <c r="X39" i="332"/>
  <c r="W40" i="332"/>
  <c r="W41" i="332" s="1"/>
  <c r="W40" i="331"/>
  <c r="W41" i="331" s="1"/>
  <c r="X39" i="331"/>
  <c r="X37" i="330"/>
  <c r="W38" i="330"/>
  <c r="X36" i="329"/>
  <c r="W37" i="329"/>
  <c r="X34" i="328"/>
  <c r="W35" i="328"/>
  <c r="W37" i="327"/>
  <c r="X36" i="327"/>
  <c r="X32" i="326"/>
  <c r="W33" i="326"/>
  <c r="X32" i="325"/>
  <c r="W33" i="325"/>
  <c r="X28" i="323"/>
  <c r="W29" i="323"/>
  <c r="W28" i="322"/>
  <c r="X27" i="322"/>
  <c r="W26" i="321"/>
  <c r="X25" i="321"/>
  <c r="W25" i="320"/>
  <c r="X24" i="320"/>
  <c r="W24" i="319"/>
  <c r="W23" i="319"/>
  <c r="X22" i="319"/>
  <c r="X44" i="333" l="1"/>
  <c r="W45" i="333"/>
  <c r="W42" i="332"/>
  <c r="X41" i="332"/>
  <c r="W42" i="331"/>
  <c r="X41" i="331"/>
  <c r="X38" i="330"/>
  <c r="W39" i="330"/>
  <c r="X37" i="329"/>
  <c r="W38" i="329"/>
  <c r="X35" i="328"/>
  <c r="W36" i="328"/>
  <c r="W38" i="327"/>
  <c r="X37" i="327"/>
  <c r="X33" i="326"/>
  <c r="W34" i="326"/>
  <c r="W34" i="325"/>
  <c r="X33" i="325"/>
  <c r="X29" i="323"/>
  <c r="W30" i="323"/>
  <c r="W29" i="322"/>
  <c r="X28" i="322"/>
  <c r="X26" i="321"/>
  <c r="W27" i="321"/>
  <c r="X25" i="320"/>
  <c r="W26" i="320"/>
  <c r="W25" i="319"/>
  <c r="X24" i="319"/>
  <c r="W46" i="333" l="1"/>
  <c r="X45" i="333"/>
  <c r="W43" i="332"/>
  <c r="X42" i="332"/>
  <c r="W43" i="331"/>
  <c r="X42" i="331"/>
  <c r="W40" i="330"/>
  <c r="W41" i="330" s="1"/>
  <c r="X39" i="330"/>
  <c r="X38" i="329"/>
  <c r="W39" i="329"/>
  <c r="W37" i="328"/>
  <c r="X36" i="328"/>
  <c r="W39" i="327"/>
  <c r="X38" i="327"/>
  <c r="X34" i="326"/>
  <c r="W35" i="326"/>
  <c r="W35" i="325"/>
  <c r="X34" i="325"/>
  <c r="X30" i="323"/>
  <c r="W31" i="323"/>
  <c r="W30" i="322"/>
  <c r="X29" i="322"/>
  <c r="X27" i="321"/>
  <c r="W28" i="321"/>
  <c r="X26" i="320"/>
  <c r="W27" i="320"/>
  <c r="X25" i="319"/>
  <c r="W26" i="319"/>
  <c r="W47" i="333" l="1"/>
  <c r="X46" i="333"/>
  <c r="W44" i="332"/>
  <c r="X43" i="332"/>
  <c r="W44" i="331"/>
  <c r="X43" i="331"/>
  <c r="X41" i="330"/>
  <c r="W42" i="330"/>
  <c r="W40" i="329"/>
  <c r="W41" i="329" s="1"/>
  <c r="X39" i="329"/>
  <c r="X37" i="328"/>
  <c r="W38" i="328"/>
  <c r="W40" i="327"/>
  <c r="W41" i="327" s="1"/>
  <c r="X39" i="327"/>
  <c r="W36" i="326"/>
  <c r="X35" i="326"/>
  <c r="W36" i="325"/>
  <c r="X35" i="325"/>
  <c r="W32" i="323"/>
  <c r="X31" i="323"/>
  <c r="W31" i="322"/>
  <c r="X30" i="322"/>
  <c r="X28" i="321"/>
  <c r="W29" i="321"/>
  <c r="W28" i="320"/>
  <c r="X27" i="320"/>
  <c r="W27" i="319"/>
  <c r="X26" i="319"/>
  <c r="W48" i="333" l="1"/>
  <c r="W49" i="333" s="1"/>
  <c r="X47" i="333"/>
  <c r="W45" i="332"/>
  <c r="X44" i="332"/>
  <c r="W45" i="331"/>
  <c r="X44" i="331"/>
  <c r="X42" i="330"/>
  <c r="W43" i="330"/>
  <c r="X41" i="329"/>
  <c r="W42" i="329"/>
  <c r="W39" i="328"/>
  <c r="X38" i="328"/>
  <c r="W42" i="327"/>
  <c r="X41" i="327"/>
  <c r="X36" i="326"/>
  <c r="W37" i="326"/>
  <c r="W37" i="325"/>
  <c r="X36" i="325"/>
  <c r="W33" i="323"/>
  <c r="X32" i="323"/>
  <c r="X31" i="322"/>
  <c r="W32" i="322"/>
  <c r="X29" i="321"/>
  <c r="W30" i="321"/>
  <c r="X28" i="320"/>
  <c r="W29" i="320"/>
  <c r="W28" i="319"/>
  <c r="X27" i="319"/>
  <c r="W50" i="333" l="1"/>
  <c r="X49" i="333"/>
  <c r="W46" i="332"/>
  <c r="X45" i="332"/>
  <c r="X45" i="331"/>
  <c r="W46" i="331"/>
  <c r="X43" i="330"/>
  <c r="W44" i="330"/>
  <c r="W43" i="329"/>
  <c r="X42" i="329"/>
  <c r="W40" i="328"/>
  <c r="W41" i="328" s="1"/>
  <c r="X39" i="328"/>
  <c r="W43" i="327"/>
  <c r="X42" i="327"/>
  <c r="W38" i="326"/>
  <c r="X37" i="326"/>
  <c r="W38" i="325"/>
  <c r="X37" i="325"/>
  <c r="W34" i="323"/>
  <c r="X33" i="323"/>
  <c r="X32" i="322"/>
  <c r="W33" i="322"/>
  <c r="W31" i="321"/>
  <c r="X30" i="321"/>
  <c r="X29" i="320"/>
  <c r="W30" i="320"/>
  <c r="W29" i="319"/>
  <c r="X28" i="319"/>
  <c r="W51" i="333" l="1"/>
  <c r="W52" i="333" s="1"/>
  <c r="W53" i="333" s="1"/>
  <c r="X50" i="333"/>
  <c r="X46" i="332"/>
  <c r="W47" i="332"/>
  <c r="X46" i="331"/>
  <c r="W47" i="331"/>
  <c r="X44" i="330"/>
  <c r="W45" i="330"/>
  <c r="W44" i="329"/>
  <c r="X43" i="329"/>
  <c r="W42" i="328"/>
  <c r="X41" i="328"/>
  <c r="W44" i="327"/>
  <c r="X43" i="327"/>
  <c r="W39" i="326"/>
  <c r="X38" i="326"/>
  <c r="X38" i="325"/>
  <c r="W39" i="325"/>
  <c r="W35" i="323"/>
  <c r="X34" i="323"/>
  <c r="X33" i="322"/>
  <c r="W34" i="322"/>
  <c r="W32" i="321"/>
  <c r="X31" i="321"/>
  <c r="W31" i="320"/>
  <c r="X30" i="320"/>
  <c r="W30" i="319"/>
  <c r="X29" i="319"/>
  <c r="X53" i="333" l="1"/>
  <c r="W54" i="333"/>
  <c r="W48" i="332"/>
  <c r="W49" i="332" s="1"/>
  <c r="X47" i="332"/>
  <c r="X47" i="331"/>
  <c r="W48" i="331"/>
  <c r="W49" i="331" s="1"/>
  <c r="X45" i="330"/>
  <c r="W46" i="330"/>
  <c r="W45" i="329"/>
  <c r="X44" i="329"/>
  <c r="W43" i="328"/>
  <c r="X42" i="328"/>
  <c r="W45" i="327"/>
  <c r="X44" i="327"/>
  <c r="X39" i="326"/>
  <c r="W40" i="326"/>
  <c r="W41" i="326" s="1"/>
  <c r="W40" i="325"/>
  <c r="W41" i="325" s="1"/>
  <c r="X39" i="325"/>
  <c r="W36" i="323"/>
  <c r="X35" i="323"/>
  <c r="W35" i="322"/>
  <c r="X34" i="322"/>
  <c r="X32" i="321"/>
  <c r="W33" i="321"/>
  <c r="X31" i="320"/>
  <c r="W32" i="320"/>
  <c r="W31" i="319"/>
  <c r="X30" i="319"/>
  <c r="W55" i="333" l="1"/>
  <c r="X54" i="333"/>
  <c r="W50" i="332"/>
  <c r="X49" i="332"/>
  <c r="W50" i="331"/>
  <c r="X49" i="331"/>
  <c r="W47" i="330"/>
  <c r="X46" i="330"/>
  <c r="W46" i="329"/>
  <c r="X45" i="329"/>
  <c r="W44" i="328"/>
  <c r="X43" i="328"/>
  <c r="W46" i="327"/>
  <c r="X45" i="327"/>
  <c r="W42" i="326"/>
  <c r="X41" i="326"/>
  <c r="W42" i="325"/>
  <c r="X41" i="325"/>
  <c r="W37" i="323"/>
  <c r="X36" i="323"/>
  <c r="W36" i="322"/>
  <c r="X35" i="322"/>
  <c r="W34" i="321"/>
  <c r="X33" i="321"/>
  <c r="X32" i="320"/>
  <c r="W33" i="320"/>
  <c r="X31" i="319"/>
  <c r="W32" i="319"/>
  <c r="W56" i="333" l="1"/>
  <c r="X55" i="333"/>
  <c r="W51" i="332"/>
  <c r="W52" i="332" s="1"/>
  <c r="W53" i="332" s="1"/>
  <c r="X50" i="332"/>
  <c r="K110" i="331"/>
  <c r="L110" i="331" s="1"/>
  <c r="W51" i="331"/>
  <c r="W52" i="331" s="1"/>
  <c r="W53" i="331" s="1"/>
  <c r="X50" i="331"/>
  <c r="K108" i="331"/>
  <c r="W48" i="330"/>
  <c r="W49" i="330" s="1"/>
  <c r="X47" i="330"/>
  <c r="W47" i="329"/>
  <c r="X46" i="329"/>
  <c r="W45" i="328"/>
  <c r="X44" i="328"/>
  <c r="X46" i="327"/>
  <c r="W47" i="327"/>
  <c r="X42" i="326"/>
  <c r="W43" i="326"/>
  <c r="W43" i="325"/>
  <c r="X42" i="325"/>
  <c r="W38" i="323"/>
  <c r="X37" i="323"/>
  <c r="W37" i="322"/>
  <c r="X36" i="322"/>
  <c r="X34" i="321"/>
  <c r="W35" i="321"/>
  <c r="X33" i="320"/>
  <c r="W34" i="320"/>
  <c r="W33" i="319"/>
  <c r="X32" i="319"/>
  <c r="W57" i="333" l="1"/>
  <c r="W58" i="333" s="1"/>
  <c r="W59" i="333" s="1"/>
  <c r="W60" i="333" s="1"/>
  <c r="W61" i="333" s="1"/>
  <c r="W62" i="333" s="1"/>
  <c r="W63" i="333" s="1"/>
  <c r="W64" i="333" s="1"/>
  <c r="W65" i="333" s="1"/>
  <c r="W66" i="333" s="1"/>
  <c r="W67" i="333" s="1"/>
  <c r="W68" i="333" s="1"/>
  <c r="W69" i="333" s="1"/>
  <c r="W70" i="333" s="1"/>
  <c r="W71" i="333" s="1"/>
  <c r="W72" i="333" s="1"/>
  <c r="W73" i="333" s="1"/>
  <c r="W74" i="333" s="1"/>
  <c r="W75" i="333" s="1"/>
  <c r="W76" i="333" s="1"/>
  <c r="W77" i="333" s="1"/>
  <c r="W78" i="333" s="1"/>
  <c r="W79" i="333" s="1"/>
  <c r="W80" i="333" s="1"/>
  <c r="W81" i="333" s="1"/>
  <c r="W82" i="333" s="1"/>
  <c r="W83" i="333" s="1"/>
  <c r="W84" i="333" s="1"/>
  <c r="W85" i="333" s="1"/>
  <c r="W86" i="333" s="1"/>
  <c r="W87" i="333" s="1"/>
  <c r="W88" i="333" s="1"/>
  <c r="W89" i="333" s="1"/>
  <c r="W90" i="333" s="1"/>
  <c r="W91" i="333" s="1"/>
  <c r="W92" i="333" s="1"/>
  <c r="W93" i="333" s="1"/>
  <c r="W94" i="333" s="1"/>
  <c r="W95" i="333" s="1"/>
  <c r="W96" i="333" s="1"/>
  <c r="W97" i="333" s="1"/>
  <c r="W98" i="333" s="1"/>
  <c r="W99" i="333" s="1"/>
  <c r="W100" i="333" s="1"/>
  <c r="W101" i="333" s="1"/>
  <c r="W102" i="333" s="1"/>
  <c r="W103" i="333" s="1"/>
  <c r="W105" i="333" s="1"/>
  <c r="X56" i="333"/>
  <c r="W54" i="332"/>
  <c r="X53" i="332"/>
  <c r="W54" i="331"/>
  <c r="X53" i="331"/>
  <c r="K111" i="331"/>
  <c r="L108" i="331"/>
  <c r="L111" i="331" s="1"/>
  <c r="W50" i="330"/>
  <c r="X49" i="330"/>
  <c r="W48" i="329"/>
  <c r="W49" i="329" s="1"/>
  <c r="X47" i="329"/>
  <c r="W46" i="328"/>
  <c r="X45" i="328"/>
  <c r="X47" i="327"/>
  <c r="W48" i="327"/>
  <c r="W49" i="327" s="1"/>
  <c r="X43" i="326"/>
  <c r="W44" i="326"/>
  <c r="W44" i="325"/>
  <c r="X43" i="325"/>
  <c r="W39" i="323"/>
  <c r="X38" i="323"/>
  <c r="W38" i="322"/>
  <c r="X37" i="322"/>
  <c r="X35" i="321"/>
  <c r="W36" i="321"/>
  <c r="W35" i="320"/>
  <c r="X34" i="320"/>
  <c r="X33" i="319"/>
  <c r="W34" i="319"/>
  <c r="X54" i="332" l="1"/>
  <c r="W55" i="332"/>
  <c r="X54" i="331"/>
  <c r="W55" i="331"/>
  <c r="K110" i="330"/>
  <c r="L110" i="330" s="1"/>
  <c r="K109" i="330"/>
  <c r="L109" i="330" s="1"/>
  <c r="K108" i="330"/>
  <c r="W51" i="330"/>
  <c r="W52" i="330" s="1"/>
  <c r="W53" i="330" s="1"/>
  <c r="X50" i="330"/>
  <c r="W50" i="329"/>
  <c r="X49" i="329"/>
  <c r="W47" i="328"/>
  <c r="X46" i="328"/>
  <c r="W50" i="327"/>
  <c r="X49" i="327"/>
  <c r="W45" i="326"/>
  <c r="X44" i="326"/>
  <c r="X44" i="325"/>
  <c r="W45" i="325"/>
  <c r="X39" i="323"/>
  <c r="W40" i="323"/>
  <c r="W41" i="323" s="1"/>
  <c r="X38" i="322"/>
  <c r="W39" i="322"/>
  <c r="X36" i="321"/>
  <c r="W37" i="321"/>
  <c r="W36" i="320"/>
  <c r="X35" i="320"/>
  <c r="X34" i="319"/>
  <c r="W35" i="319"/>
  <c r="X55" i="332" l="1"/>
  <c r="W56" i="332"/>
  <c r="X55" i="331"/>
  <c r="W56" i="331"/>
  <c r="W54" i="330"/>
  <c r="X53" i="330"/>
  <c r="L108" i="330"/>
  <c r="L111" i="330" s="1"/>
  <c r="K111" i="330"/>
  <c r="K108" i="329"/>
  <c r="K110" i="329"/>
  <c r="L110" i="329" s="1"/>
  <c r="W51" i="329"/>
  <c r="W52" i="329" s="1"/>
  <c r="W53" i="329" s="1"/>
  <c r="X50" i="329"/>
  <c r="W48" i="328"/>
  <c r="W49" i="328" s="1"/>
  <c r="X47" i="328"/>
  <c r="K110" i="327"/>
  <c r="L110" i="327" s="1"/>
  <c r="K108" i="327"/>
  <c r="K109" i="327"/>
  <c r="L109" i="327" s="1"/>
  <c r="W51" i="327"/>
  <c r="W52" i="327" s="1"/>
  <c r="W53" i="327" s="1"/>
  <c r="X50" i="327"/>
  <c r="X45" i="326"/>
  <c r="W46" i="326"/>
  <c r="W46" i="325"/>
  <c r="X45" i="325"/>
  <c r="W42" i="323"/>
  <c r="X41" i="323"/>
  <c r="W40" i="322"/>
  <c r="W41" i="322" s="1"/>
  <c r="X39" i="322"/>
  <c r="X37" i="321"/>
  <c r="W38" i="321"/>
  <c r="W37" i="320"/>
  <c r="X36" i="320"/>
  <c r="W36" i="319"/>
  <c r="X35" i="319"/>
  <c r="W57" i="332" l="1"/>
  <c r="W58" i="332" s="1"/>
  <c r="W59" i="332" s="1"/>
  <c r="W60" i="332" s="1"/>
  <c r="W61" i="332" s="1"/>
  <c r="W62" i="332" s="1"/>
  <c r="W63" i="332" s="1"/>
  <c r="W64" i="332" s="1"/>
  <c r="W65" i="332" s="1"/>
  <c r="W66" i="332" s="1"/>
  <c r="W67" i="332" s="1"/>
  <c r="W68" i="332" s="1"/>
  <c r="W69" i="332" s="1"/>
  <c r="W70" i="332" s="1"/>
  <c r="W71" i="332" s="1"/>
  <c r="W72" i="332" s="1"/>
  <c r="W73" i="332" s="1"/>
  <c r="W74" i="332" s="1"/>
  <c r="W75" i="332" s="1"/>
  <c r="W76" i="332" s="1"/>
  <c r="W77" i="332" s="1"/>
  <c r="W78" i="332" s="1"/>
  <c r="W79" i="332" s="1"/>
  <c r="W80" i="332" s="1"/>
  <c r="W81" i="332" s="1"/>
  <c r="W82" i="332" s="1"/>
  <c r="W83" i="332" s="1"/>
  <c r="W84" i="332" s="1"/>
  <c r="W85" i="332" s="1"/>
  <c r="W86" i="332" s="1"/>
  <c r="W87" i="332" s="1"/>
  <c r="W88" i="332" s="1"/>
  <c r="W89" i="332" s="1"/>
  <c r="W90" i="332" s="1"/>
  <c r="W91" i="332" s="1"/>
  <c r="W92" i="332" s="1"/>
  <c r="W93" i="332" s="1"/>
  <c r="W94" i="332" s="1"/>
  <c r="W95" i="332" s="1"/>
  <c r="W96" i="332" s="1"/>
  <c r="W97" i="332" s="1"/>
  <c r="W98" i="332" s="1"/>
  <c r="W99" i="332" s="1"/>
  <c r="W100" i="332" s="1"/>
  <c r="W101" i="332" s="1"/>
  <c r="W102" i="332" s="1"/>
  <c r="W103" i="332" s="1"/>
  <c r="W105" i="332" s="1"/>
  <c r="X56" i="332"/>
  <c r="W57" i="331"/>
  <c r="W58" i="331" s="1"/>
  <c r="W59" i="331" s="1"/>
  <c r="W60" i="331" s="1"/>
  <c r="W61" i="331" s="1"/>
  <c r="W62" i="331" s="1"/>
  <c r="W63" i="331" s="1"/>
  <c r="W64" i="331" s="1"/>
  <c r="W65" i="331" s="1"/>
  <c r="W66" i="331" s="1"/>
  <c r="W67" i="331" s="1"/>
  <c r="W68" i="331" s="1"/>
  <c r="W69" i="331" s="1"/>
  <c r="W70" i="331" s="1"/>
  <c r="W71" i="331" s="1"/>
  <c r="W72" i="331" s="1"/>
  <c r="W73" i="331" s="1"/>
  <c r="W74" i="331" s="1"/>
  <c r="W75" i="331" s="1"/>
  <c r="W76" i="331" s="1"/>
  <c r="W77" i="331" s="1"/>
  <c r="W78" i="331" s="1"/>
  <c r="W79" i="331" s="1"/>
  <c r="W80" i="331" s="1"/>
  <c r="W81" i="331" s="1"/>
  <c r="W82" i="331" s="1"/>
  <c r="W83" i="331" s="1"/>
  <c r="W84" i="331" s="1"/>
  <c r="W85" i="331" s="1"/>
  <c r="W86" i="331" s="1"/>
  <c r="W87" i="331" s="1"/>
  <c r="W88" i="331" s="1"/>
  <c r="W89" i="331" s="1"/>
  <c r="W90" i="331" s="1"/>
  <c r="W91" i="331" s="1"/>
  <c r="W92" i="331" s="1"/>
  <c r="W93" i="331" s="1"/>
  <c r="W94" i="331" s="1"/>
  <c r="W95" i="331" s="1"/>
  <c r="W96" i="331" s="1"/>
  <c r="W97" i="331" s="1"/>
  <c r="W98" i="331" s="1"/>
  <c r="W99" i="331" s="1"/>
  <c r="W100" i="331" s="1"/>
  <c r="W101" i="331" s="1"/>
  <c r="W102" i="331" s="1"/>
  <c r="W103" i="331" s="1"/>
  <c r="W105" i="331" s="1"/>
  <c r="X56" i="331"/>
  <c r="W55" i="330"/>
  <c r="X54" i="330"/>
  <c r="X53" i="329"/>
  <c r="W54" i="329"/>
  <c r="L108" i="329"/>
  <c r="L111" i="329" s="1"/>
  <c r="K111" i="329"/>
  <c r="W50" i="328"/>
  <c r="X49" i="328"/>
  <c r="W54" i="327"/>
  <c r="X53" i="327"/>
  <c r="L108" i="327"/>
  <c r="L111" i="327" s="1"/>
  <c r="K111" i="327"/>
  <c r="X46" i="326"/>
  <c r="W47" i="326"/>
  <c r="W47" i="325"/>
  <c r="X46" i="325"/>
  <c r="X42" i="323"/>
  <c r="W43" i="323"/>
  <c r="X41" i="322"/>
  <c r="W42" i="322"/>
  <c r="W39" i="321"/>
  <c r="X38" i="321"/>
  <c r="W38" i="320"/>
  <c r="X37" i="320"/>
  <c r="W37" i="319"/>
  <c r="X36" i="319"/>
  <c r="W56" i="330" l="1"/>
  <c r="X55" i="330"/>
  <c r="W55" i="329"/>
  <c r="X54" i="329"/>
  <c r="K108" i="328"/>
  <c r="W51" i="328"/>
  <c r="W52" i="328" s="1"/>
  <c r="W53" i="328" s="1"/>
  <c r="X50" i="328"/>
  <c r="K110" i="328"/>
  <c r="L110" i="328" s="1"/>
  <c r="W55" i="327"/>
  <c r="X54" i="327"/>
  <c r="W48" i="326"/>
  <c r="W49" i="326" s="1"/>
  <c r="X47" i="326"/>
  <c r="X47" i="325"/>
  <c r="W48" i="325"/>
  <c r="W49" i="325" s="1"/>
  <c r="W44" i="323"/>
  <c r="X43" i="323"/>
  <c r="W43" i="322"/>
  <c r="X42" i="322"/>
  <c r="W40" i="321"/>
  <c r="W41" i="321" s="1"/>
  <c r="X39" i="321"/>
  <c r="X38" i="320"/>
  <c r="W39" i="320"/>
  <c r="X37" i="319"/>
  <c r="W38" i="319"/>
  <c r="W57" i="330" l="1"/>
  <c r="W58" i="330" s="1"/>
  <c r="W59" i="330" s="1"/>
  <c r="W60" i="330" s="1"/>
  <c r="W61" i="330" s="1"/>
  <c r="W62" i="330" s="1"/>
  <c r="W63" i="330" s="1"/>
  <c r="W64" i="330" s="1"/>
  <c r="W65" i="330" s="1"/>
  <c r="W66" i="330" s="1"/>
  <c r="W67" i="330" s="1"/>
  <c r="W68" i="330" s="1"/>
  <c r="W69" i="330" s="1"/>
  <c r="W70" i="330" s="1"/>
  <c r="W71" i="330" s="1"/>
  <c r="W72" i="330" s="1"/>
  <c r="W73" i="330" s="1"/>
  <c r="W74" i="330" s="1"/>
  <c r="W75" i="330" s="1"/>
  <c r="W76" i="330" s="1"/>
  <c r="W77" i="330" s="1"/>
  <c r="W78" i="330" s="1"/>
  <c r="W79" i="330" s="1"/>
  <c r="W80" i="330" s="1"/>
  <c r="W81" i="330" s="1"/>
  <c r="W82" i="330" s="1"/>
  <c r="W83" i="330" s="1"/>
  <c r="W84" i="330" s="1"/>
  <c r="W85" i="330" s="1"/>
  <c r="W86" i="330" s="1"/>
  <c r="W87" i="330" s="1"/>
  <c r="W88" i="330" s="1"/>
  <c r="W89" i="330" s="1"/>
  <c r="W90" i="330" s="1"/>
  <c r="W91" i="330" s="1"/>
  <c r="W92" i="330" s="1"/>
  <c r="W93" i="330" s="1"/>
  <c r="W94" i="330" s="1"/>
  <c r="W95" i="330" s="1"/>
  <c r="W96" i="330" s="1"/>
  <c r="W97" i="330" s="1"/>
  <c r="W98" i="330" s="1"/>
  <c r="W99" i="330" s="1"/>
  <c r="W100" i="330" s="1"/>
  <c r="W101" i="330" s="1"/>
  <c r="W102" i="330" s="1"/>
  <c r="W103" i="330" s="1"/>
  <c r="W105" i="330" s="1"/>
  <c r="X56" i="330"/>
  <c r="W56" i="329"/>
  <c r="X55" i="329"/>
  <c r="W54" i="328"/>
  <c r="X53" i="328"/>
  <c r="L108" i="328"/>
  <c r="L111" i="328" s="1"/>
  <c r="K111" i="328"/>
  <c r="X55" i="327"/>
  <c r="W56" i="327"/>
  <c r="X49" i="326"/>
  <c r="W50" i="326"/>
  <c r="W50" i="325"/>
  <c r="X49" i="325"/>
  <c r="W45" i="323"/>
  <c r="X44" i="323"/>
  <c r="W44" i="322"/>
  <c r="X43" i="322"/>
  <c r="W42" i="321"/>
  <c r="X41" i="321"/>
  <c r="X39" i="320"/>
  <c r="W40" i="320"/>
  <c r="W41" i="320" s="1"/>
  <c r="W39" i="319"/>
  <c r="X38" i="319"/>
  <c r="W57" i="329" l="1"/>
  <c r="W58" i="329" s="1"/>
  <c r="W59" i="329" s="1"/>
  <c r="W60" i="329" s="1"/>
  <c r="W61" i="329" s="1"/>
  <c r="W62" i="329" s="1"/>
  <c r="W63" i="329" s="1"/>
  <c r="W64" i="329" s="1"/>
  <c r="W65" i="329" s="1"/>
  <c r="W66" i="329" s="1"/>
  <c r="W67" i="329" s="1"/>
  <c r="W68" i="329" s="1"/>
  <c r="W69" i="329" s="1"/>
  <c r="W70" i="329" s="1"/>
  <c r="W71" i="329" s="1"/>
  <c r="W72" i="329" s="1"/>
  <c r="W73" i="329" s="1"/>
  <c r="W74" i="329" s="1"/>
  <c r="W75" i="329" s="1"/>
  <c r="W76" i="329" s="1"/>
  <c r="W77" i="329" s="1"/>
  <c r="W78" i="329" s="1"/>
  <c r="W79" i="329" s="1"/>
  <c r="W80" i="329" s="1"/>
  <c r="W81" i="329" s="1"/>
  <c r="W82" i="329" s="1"/>
  <c r="W83" i="329" s="1"/>
  <c r="W84" i="329" s="1"/>
  <c r="W85" i="329" s="1"/>
  <c r="W86" i="329" s="1"/>
  <c r="W87" i="329" s="1"/>
  <c r="W88" i="329" s="1"/>
  <c r="W89" i="329" s="1"/>
  <c r="W90" i="329" s="1"/>
  <c r="W91" i="329" s="1"/>
  <c r="W92" i="329" s="1"/>
  <c r="W93" i="329" s="1"/>
  <c r="W94" i="329" s="1"/>
  <c r="W95" i="329" s="1"/>
  <c r="W96" i="329" s="1"/>
  <c r="W97" i="329" s="1"/>
  <c r="W98" i="329" s="1"/>
  <c r="W99" i="329" s="1"/>
  <c r="W100" i="329" s="1"/>
  <c r="W101" i="329" s="1"/>
  <c r="W102" i="329" s="1"/>
  <c r="W103" i="329" s="1"/>
  <c r="W105" i="329" s="1"/>
  <c r="X56" i="329"/>
  <c r="X54" i="328"/>
  <c r="W55" i="328"/>
  <c r="W57" i="327"/>
  <c r="W58" i="327" s="1"/>
  <c r="W59" i="327" s="1"/>
  <c r="W60" i="327" s="1"/>
  <c r="W61" i="327" s="1"/>
  <c r="W62" i="327" s="1"/>
  <c r="W63" i="327" s="1"/>
  <c r="W64" i="327" s="1"/>
  <c r="W65" i="327" s="1"/>
  <c r="W66" i="327" s="1"/>
  <c r="W67" i="327" s="1"/>
  <c r="W68" i="327" s="1"/>
  <c r="W69" i="327" s="1"/>
  <c r="W70" i="327" s="1"/>
  <c r="W71" i="327" s="1"/>
  <c r="W72" i="327" s="1"/>
  <c r="W73" i="327" s="1"/>
  <c r="W74" i="327" s="1"/>
  <c r="W75" i="327" s="1"/>
  <c r="W76" i="327" s="1"/>
  <c r="W77" i="327" s="1"/>
  <c r="W78" i="327" s="1"/>
  <c r="W79" i="327" s="1"/>
  <c r="W80" i="327" s="1"/>
  <c r="W81" i="327" s="1"/>
  <c r="W82" i="327" s="1"/>
  <c r="W83" i="327" s="1"/>
  <c r="W84" i="327" s="1"/>
  <c r="W85" i="327" s="1"/>
  <c r="W86" i="327" s="1"/>
  <c r="W87" i="327" s="1"/>
  <c r="W88" i="327" s="1"/>
  <c r="W89" i="327" s="1"/>
  <c r="W90" i="327" s="1"/>
  <c r="W91" i="327" s="1"/>
  <c r="W92" i="327" s="1"/>
  <c r="W93" i="327" s="1"/>
  <c r="W94" i="327" s="1"/>
  <c r="W95" i="327" s="1"/>
  <c r="W96" i="327" s="1"/>
  <c r="W97" i="327" s="1"/>
  <c r="W98" i="327" s="1"/>
  <c r="W99" i="327" s="1"/>
  <c r="W100" i="327" s="1"/>
  <c r="W101" i="327" s="1"/>
  <c r="W102" i="327" s="1"/>
  <c r="W103" i="327" s="1"/>
  <c r="W105" i="327" s="1"/>
  <c r="X56" i="327"/>
  <c r="K109" i="326"/>
  <c r="L109" i="326" s="1"/>
  <c r="W51" i="326"/>
  <c r="W52" i="326" s="1"/>
  <c r="W53" i="326" s="1"/>
  <c r="X50" i="326"/>
  <c r="K108" i="326"/>
  <c r="K110" i="326"/>
  <c r="L110" i="326" s="1"/>
  <c r="K110" i="325"/>
  <c r="L110" i="325" s="1"/>
  <c r="K108" i="325"/>
  <c r="K109" i="325"/>
  <c r="L109" i="325" s="1"/>
  <c r="W51" i="325"/>
  <c r="W52" i="325" s="1"/>
  <c r="W53" i="325" s="1"/>
  <c r="X50" i="325"/>
  <c r="W46" i="323"/>
  <c r="X45" i="323"/>
  <c r="X44" i="322"/>
  <c r="W45" i="322"/>
  <c r="W43" i="321"/>
  <c r="X42" i="321"/>
  <c r="X41" i="320"/>
  <c r="W42" i="320"/>
  <c r="W40" i="319"/>
  <c r="W41" i="319" s="1"/>
  <c r="X39" i="319"/>
  <c r="W56" i="328" l="1"/>
  <c r="X55" i="328"/>
  <c r="L108" i="326"/>
  <c r="L111" i="326" s="1"/>
  <c r="K111" i="326"/>
  <c r="W54" i="326"/>
  <c r="X53" i="326"/>
  <c r="X53" i="325"/>
  <c r="W54" i="325"/>
  <c r="L108" i="325"/>
  <c r="L111" i="325" s="1"/>
  <c r="K111" i="325"/>
  <c r="X46" i="323"/>
  <c r="W47" i="323"/>
  <c r="X45" i="322"/>
  <c r="W46" i="322"/>
  <c r="W44" i="321"/>
  <c r="X43" i="321"/>
  <c r="W43" i="320"/>
  <c r="X42" i="320"/>
  <c r="W42" i="319"/>
  <c r="X41" i="319"/>
  <c r="X56" i="328" l="1"/>
  <c r="W57" i="328"/>
  <c r="W58" i="328" s="1"/>
  <c r="W59" i="328" s="1"/>
  <c r="W60" i="328" s="1"/>
  <c r="W61" i="328" s="1"/>
  <c r="W62" i="328" s="1"/>
  <c r="W63" i="328" s="1"/>
  <c r="W64" i="328" s="1"/>
  <c r="W65" i="328" s="1"/>
  <c r="W66" i="328" s="1"/>
  <c r="W67" i="328" s="1"/>
  <c r="W68" i="328" s="1"/>
  <c r="W69" i="328" s="1"/>
  <c r="W70" i="328" s="1"/>
  <c r="W71" i="328" s="1"/>
  <c r="W72" i="328" s="1"/>
  <c r="W73" i="328" s="1"/>
  <c r="W74" i="328" s="1"/>
  <c r="W75" i="328" s="1"/>
  <c r="W76" i="328" s="1"/>
  <c r="W77" i="328" s="1"/>
  <c r="W78" i="328" s="1"/>
  <c r="W79" i="328" s="1"/>
  <c r="W80" i="328" s="1"/>
  <c r="W81" i="328" s="1"/>
  <c r="W82" i="328" s="1"/>
  <c r="W83" i="328" s="1"/>
  <c r="W84" i="328" s="1"/>
  <c r="W85" i="328" s="1"/>
  <c r="W86" i="328" s="1"/>
  <c r="W87" i="328" s="1"/>
  <c r="W88" i="328" s="1"/>
  <c r="W89" i="328" s="1"/>
  <c r="W90" i="328" s="1"/>
  <c r="W91" i="328" s="1"/>
  <c r="W92" i="328" s="1"/>
  <c r="W93" i="328" s="1"/>
  <c r="W94" i="328" s="1"/>
  <c r="W95" i="328" s="1"/>
  <c r="W96" i="328" s="1"/>
  <c r="W97" i="328" s="1"/>
  <c r="W98" i="328" s="1"/>
  <c r="W99" i="328" s="1"/>
  <c r="W100" i="328" s="1"/>
  <c r="W101" i="328" s="1"/>
  <c r="W102" i="328" s="1"/>
  <c r="W103" i="328" s="1"/>
  <c r="W105" i="328" s="1"/>
  <c r="X54" i="326"/>
  <c r="W55" i="326"/>
  <c r="W55" i="325"/>
  <c r="X54" i="325"/>
  <c r="X47" i="323"/>
  <c r="W48" i="323"/>
  <c r="W49" i="323" s="1"/>
  <c r="X46" i="322"/>
  <c r="W47" i="322"/>
  <c r="W45" i="321"/>
  <c r="X44" i="321"/>
  <c r="W44" i="320"/>
  <c r="X43" i="320"/>
  <c r="W43" i="319"/>
  <c r="X42" i="319"/>
  <c r="W56" i="326" l="1"/>
  <c r="X55" i="326"/>
  <c r="X55" i="325"/>
  <c r="W56" i="325"/>
  <c r="W50" i="323"/>
  <c r="X49" i="323"/>
  <c r="X47" i="322"/>
  <c r="W48" i="322"/>
  <c r="W49" i="322" s="1"/>
  <c r="W46" i="321"/>
  <c r="X45" i="321"/>
  <c r="X44" i="320"/>
  <c r="W45" i="320"/>
  <c r="X43" i="319"/>
  <c r="W44" i="319"/>
  <c r="X56" i="326" l="1"/>
  <c r="W57" i="326"/>
  <c r="W58" i="326" s="1"/>
  <c r="W59" i="326" s="1"/>
  <c r="W60" i="326" s="1"/>
  <c r="W61" i="326" s="1"/>
  <c r="W62" i="326" s="1"/>
  <c r="W63" i="326" s="1"/>
  <c r="W64" i="326" s="1"/>
  <c r="W65" i="326" s="1"/>
  <c r="W66" i="326" s="1"/>
  <c r="W67" i="326" s="1"/>
  <c r="W68" i="326" s="1"/>
  <c r="W69" i="326" s="1"/>
  <c r="W70" i="326" s="1"/>
  <c r="W71" i="326" s="1"/>
  <c r="W72" i="326" s="1"/>
  <c r="W73" i="326" s="1"/>
  <c r="W74" i="326" s="1"/>
  <c r="W75" i="326" s="1"/>
  <c r="W76" i="326" s="1"/>
  <c r="W77" i="326" s="1"/>
  <c r="W78" i="326" s="1"/>
  <c r="W79" i="326" s="1"/>
  <c r="W80" i="326" s="1"/>
  <c r="W81" i="326" s="1"/>
  <c r="W82" i="326" s="1"/>
  <c r="W83" i="326" s="1"/>
  <c r="W84" i="326" s="1"/>
  <c r="W85" i="326" s="1"/>
  <c r="W86" i="326" s="1"/>
  <c r="W87" i="326" s="1"/>
  <c r="W88" i="326" s="1"/>
  <c r="W89" i="326" s="1"/>
  <c r="W90" i="326" s="1"/>
  <c r="W91" i="326" s="1"/>
  <c r="W92" i="326" s="1"/>
  <c r="W93" i="326" s="1"/>
  <c r="W94" i="326" s="1"/>
  <c r="W95" i="326" s="1"/>
  <c r="W96" i="326" s="1"/>
  <c r="W97" i="326" s="1"/>
  <c r="W98" i="326" s="1"/>
  <c r="W99" i="326" s="1"/>
  <c r="W100" i="326" s="1"/>
  <c r="W101" i="326" s="1"/>
  <c r="W102" i="326" s="1"/>
  <c r="W103" i="326" s="1"/>
  <c r="W105" i="326" s="1"/>
  <c r="W57" i="325"/>
  <c r="W58" i="325" s="1"/>
  <c r="W59" i="325" s="1"/>
  <c r="W60" i="325" s="1"/>
  <c r="W61" i="325" s="1"/>
  <c r="W62" i="325" s="1"/>
  <c r="W63" i="325" s="1"/>
  <c r="W64" i="325" s="1"/>
  <c r="W65" i="325" s="1"/>
  <c r="W66" i="325" s="1"/>
  <c r="W67" i="325" s="1"/>
  <c r="W68" i="325" s="1"/>
  <c r="W69" i="325" s="1"/>
  <c r="W70" i="325" s="1"/>
  <c r="W71" i="325" s="1"/>
  <c r="W72" i="325" s="1"/>
  <c r="W73" i="325" s="1"/>
  <c r="W74" i="325" s="1"/>
  <c r="W75" i="325" s="1"/>
  <c r="W76" i="325" s="1"/>
  <c r="W77" i="325" s="1"/>
  <c r="W78" i="325" s="1"/>
  <c r="W79" i="325" s="1"/>
  <c r="W80" i="325" s="1"/>
  <c r="W81" i="325" s="1"/>
  <c r="W82" i="325" s="1"/>
  <c r="W83" i="325" s="1"/>
  <c r="W84" i="325" s="1"/>
  <c r="W85" i="325" s="1"/>
  <c r="W86" i="325" s="1"/>
  <c r="W87" i="325" s="1"/>
  <c r="W88" i="325" s="1"/>
  <c r="W89" i="325" s="1"/>
  <c r="W90" i="325" s="1"/>
  <c r="W91" i="325" s="1"/>
  <c r="W92" i="325" s="1"/>
  <c r="W93" i="325" s="1"/>
  <c r="W94" i="325" s="1"/>
  <c r="W95" i="325" s="1"/>
  <c r="W96" i="325" s="1"/>
  <c r="W97" i="325" s="1"/>
  <c r="W98" i="325" s="1"/>
  <c r="W99" i="325" s="1"/>
  <c r="W100" i="325" s="1"/>
  <c r="W101" i="325" s="1"/>
  <c r="W102" i="325" s="1"/>
  <c r="W103" i="325" s="1"/>
  <c r="W105" i="325" s="1"/>
  <c r="X56" i="325"/>
  <c r="K109" i="323"/>
  <c r="L109" i="323" s="1"/>
  <c r="K108" i="323"/>
  <c r="L108" i="323" s="1"/>
  <c r="K110" i="323"/>
  <c r="L110" i="323" s="1"/>
  <c r="W51" i="323"/>
  <c r="W52" i="323" s="1"/>
  <c r="W53" i="323" s="1"/>
  <c r="X50" i="323"/>
  <c r="X49" i="322"/>
  <c r="W50" i="322"/>
  <c r="W47" i="321"/>
  <c r="X46" i="321"/>
  <c r="X45" i="320"/>
  <c r="W46" i="320"/>
  <c r="W45" i="319"/>
  <c r="X44" i="319"/>
  <c r="L111" i="323" l="1"/>
  <c r="K110" i="322"/>
  <c r="L110" i="322" s="1"/>
  <c r="K108" i="322"/>
  <c r="K109" i="322"/>
  <c r="L109" i="322" s="1"/>
  <c r="K111" i="323"/>
  <c r="W54" i="323"/>
  <c r="X53" i="323"/>
  <c r="W51" i="322"/>
  <c r="W52" i="322" s="1"/>
  <c r="W53" i="322" s="1"/>
  <c r="X50" i="322"/>
  <c r="W48" i="321"/>
  <c r="W49" i="321" s="1"/>
  <c r="X47" i="321"/>
  <c r="W47" i="320"/>
  <c r="X46" i="320"/>
  <c r="W46" i="319"/>
  <c r="X45" i="319"/>
  <c r="K111" i="322" l="1"/>
  <c r="L108" i="322"/>
  <c r="L111" i="322" s="1"/>
  <c r="X54" i="323"/>
  <c r="W55" i="323"/>
  <c r="W54" i="322"/>
  <c r="X53" i="322"/>
  <c r="W50" i="321"/>
  <c r="X49" i="321"/>
  <c r="W48" i="320"/>
  <c r="W49" i="320" s="1"/>
  <c r="X47" i="320"/>
  <c r="W47" i="319"/>
  <c r="X46" i="319"/>
  <c r="X55" i="323" l="1"/>
  <c r="W56" i="323"/>
  <c r="X54" i="322"/>
  <c r="W55" i="322"/>
  <c r="K110" i="321"/>
  <c r="L110" i="321" s="1"/>
  <c r="K109" i="321"/>
  <c r="L109" i="321" s="1"/>
  <c r="K108" i="321"/>
  <c r="W51" i="321"/>
  <c r="W52" i="321" s="1"/>
  <c r="W53" i="321" s="1"/>
  <c r="X50" i="321"/>
  <c r="W50" i="320"/>
  <c r="X49" i="320"/>
  <c r="X47" i="319"/>
  <c r="W48" i="319"/>
  <c r="W49" i="319" s="1"/>
  <c r="X56" i="323" l="1"/>
  <c r="W57" i="323"/>
  <c r="W58" i="323" s="1"/>
  <c r="W59" i="323" s="1"/>
  <c r="W60" i="323" s="1"/>
  <c r="W61" i="323" s="1"/>
  <c r="W62" i="323" s="1"/>
  <c r="W63" i="323" s="1"/>
  <c r="W64" i="323" s="1"/>
  <c r="W65" i="323" s="1"/>
  <c r="W66" i="323" s="1"/>
  <c r="W67" i="323" s="1"/>
  <c r="W68" i="323" s="1"/>
  <c r="W69" i="323" s="1"/>
  <c r="W70" i="323" s="1"/>
  <c r="W71" i="323" s="1"/>
  <c r="W72" i="323" s="1"/>
  <c r="W73" i="323" s="1"/>
  <c r="W74" i="323" s="1"/>
  <c r="W75" i="323" s="1"/>
  <c r="W76" i="323" s="1"/>
  <c r="W77" i="323" s="1"/>
  <c r="W78" i="323" s="1"/>
  <c r="W79" i="323" s="1"/>
  <c r="W80" i="323" s="1"/>
  <c r="W81" i="323" s="1"/>
  <c r="W82" i="323" s="1"/>
  <c r="W83" i="323" s="1"/>
  <c r="W84" i="323" s="1"/>
  <c r="W85" i="323" s="1"/>
  <c r="W86" i="323" s="1"/>
  <c r="W87" i="323" s="1"/>
  <c r="W88" i="323" s="1"/>
  <c r="W89" i="323" s="1"/>
  <c r="W90" i="323" s="1"/>
  <c r="W91" i="323" s="1"/>
  <c r="W92" i="323" s="1"/>
  <c r="W93" i="323" s="1"/>
  <c r="W94" i="323" s="1"/>
  <c r="W95" i="323" s="1"/>
  <c r="W96" i="323" s="1"/>
  <c r="W97" i="323" s="1"/>
  <c r="W98" i="323" s="1"/>
  <c r="W99" i="323" s="1"/>
  <c r="W100" i="323" s="1"/>
  <c r="W101" i="323" s="1"/>
  <c r="W102" i="323" s="1"/>
  <c r="W103" i="323" s="1"/>
  <c r="W105" i="323" s="1"/>
  <c r="X55" i="322"/>
  <c r="W56" i="322"/>
  <c r="L108" i="321"/>
  <c r="L111" i="321" s="1"/>
  <c r="K111" i="321"/>
  <c r="W54" i="321"/>
  <c r="X53" i="321"/>
  <c r="K110" i="320"/>
  <c r="K108" i="320"/>
  <c r="K109" i="320"/>
  <c r="L109" i="320" s="1"/>
  <c r="W51" i="320"/>
  <c r="W52" i="320" s="1"/>
  <c r="W53" i="320" s="1"/>
  <c r="X50" i="320"/>
  <c r="X49" i="319"/>
  <c r="W50" i="319"/>
  <c r="X56" i="322" l="1"/>
  <c r="W57" i="322"/>
  <c r="W58" i="322" s="1"/>
  <c r="W59" i="322" s="1"/>
  <c r="W60" i="322" s="1"/>
  <c r="W61" i="322" s="1"/>
  <c r="W62" i="322" s="1"/>
  <c r="W63" i="322" s="1"/>
  <c r="W64" i="322" s="1"/>
  <c r="W65" i="322" s="1"/>
  <c r="W66" i="322" s="1"/>
  <c r="W67" i="322" s="1"/>
  <c r="W68" i="322" s="1"/>
  <c r="W69" i="322" s="1"/>
  <c r="W70" i="322" s="1"/>
  <c r="W71" i="322" s="1"/>
  <c r="W72" i="322" s="1"/>
  <c r="W73" i="322" s="1"/>
  <c r="W74" i="322" s="1"/>
  <c r="W75" i="322" s="1"/>
  <c r="W76" i="322" s="1"/>
  <c r="W77" i="322" s="1"/>
  <c r="W78" i="322" s="1"/>
  <c r="W79" i="322" s="1"/>
  <c r="W80" i="322" s="1"/>
  <c r="W81" i="322" s="1"/>
  <c r="W82" i="322" s="1"/>
  <c r="W83" i="322" s="1"/>
  <c r="W84" i="322" s="1"/>
  <c r="W85" i="322" s="1"/>
  <c r="W86" i="322" s="1"/>
  <c r="W87" i="322" s="1"/>
  <c r="W88" i="322" s="1"/>
  <c r="W89" i="322" s="1"/>
  <c r="W90" i="322" s="1"/>
  <c r="W91" i="322" s="1"/>
  <c r="W92" i="322" s="1"/>
  <c r="W93" i="322" s="1"/>
  <c r="W94" i="322" s="1"/>
  <c r="W95" i="322" s="1"/>
  <c r="W96" i="322" s="1"/>
  <c r="W97" i="322" s="1"/>
  <c r="W98" i="322" s="1"/>
  <c r="W99" i="322" s="1"/>
  <c r="W100" i="322" s="1"/>
  <c r="W101" i="322" s="1"/>
  <c r="W102" i="322" s="1"/>
  <c r="W103" i="322" s="1"/>
  <c r="W105" i="322" s="1"/>
  <c r="W55" i="321"/>
  <c r="X54" i="321"/>
  <c r="K111" i="320"/>
  <c r="L108" i="320"/>
  <c r="L111" i="320" s="1"/>
  <c r="W54" i="320"/>
  <c r="X53" i="320"/>
  <c r="W51" i="319"/>
  <c r="W52" i="319" s="1"/>
  <c r="W53" i="319" s="1"/>
  <c r="X50" i="319"/>
  <c r="W56" i="321" l="1"/>
  <c r="X55" i="321"/>
  <c r="X54" i="320"/>
  <c r="W55" i="320"/>
  <c r="W54" i="319"/>
  <c r="X53" i="319"/>
  <c r="W57" i="321" l="1"/>
  <c r="W58" i="321" s="1"/>
  <c r="W59" i="321" s="1"/>
  <c r="W60" i="321" s="1"/>
  <c r="W61" i="321" s="1"/>
  <c r="W62" i="321" s="1"/>
  <c r="W63" i="321" s="1"/>
  <c r="W64" i="321" s="1"/>
  <c r="W65" i="321" s="1"/>
  <c r="W66" i="321" s="1"/>
  <c r="W67" i="321" s="1"/>
  <c r="W68" i="321" s="1"/>
  <c r="W69" i="321" s="1"/>
  <c r="W70" i="321" s="1"/>
  <c r="W71" i="321" s="1"/>
  <c r="W72" i="321" s="1"/>
  <c r="W73" i="321" s="1"/>
  <c r="W74" i="321" s="1"/>
  <c r="W75" i="321" s="1"/>
  <c r="W76" i="321" s="1"/>
  <c r="W77" i="321" s="1"/>
  <c r="W78" i="321" s="1"/>
  <c r="W79" i="321" s="1"/>
  <c r="W80" i="321" s="1"/>
  <c r="W81" i="321" s="1"/>
  <c r="W82" i="321" s="1"/>
  <c r="W83" i="321" s="1"/>
  <c r="W84" i="321" s="1"/>
  <c r="W85" i="321" s="1"/>
  <c r="W86" i="321" s="1"/>
  <c r="W87" i="321" s="1"/>
  <c r="W88" i="321" s="1"/>
  <c r="W89" i="321" s="1"/>
  <c r="W90" i="321" s="1"/>
  <c r="W91" i="321" s="1"/>
  <c r="W92" i="321" s="1"/>
  <c r="W93" i="321" s="1"/>
  <c r="W94" i="321" s="1"/>
  <c r="W95" i="321" s="1"/>
  <c r="W96" i="321" s="1"/>
  <c r="W97" i="321" s="1"/>
  <c r="W98" i="321" s="1"/>
  <c r="W99" i="321" s="1"/>
  <c r="W100" i="321" s="1"/>
  <c r="W101" i="321" s="1"/>
  <c r="W102" i="321" s="1"/>
  <c r="W103" i="321" s="1"/>
  <c r="W105" i="321" s="1"/>
  <c r="X56" i="321"/>
  <c r="W56" i="320"/>
  <c r="X55" i="320"/>
  <c r="W55" i="319"/>
  <c r="X54" i="319"/>
  <c r="X56" i="320" l="1"/>
  <c r="W57" i="320"/>
  <c r="W58" i="320" s="1"/>
  <c r="W59" i="320" s="1"/>
  <c r="W60" i="320" s="1"/>
  <c r="W61" i="320" s="1"/>
  <c r="W62" i="320" s="1"/>
  <c r="W63" i="320" s="1"/>
  <c r="W64" i="320" s="1"/>
  <c r="W65" i="320" s="1"/>
  <c r="W66" i="320" s="1"/>
  <c r="W67" i="320" s="1"/>
  <c r="W68" i="320" s="1"/>
  <c r="W69" i="320" s="1"/>
  <c r="W70" i="320" s="1"/>
  <c r="W71" i="320" s="1"/>
  <c r="W72" i="320" s="1"/>
  <c r="W73" i="320" s="1"/>
  <c r="W74" i="320" s="1"/>
  <c r="W75" i="320" s="1"/>
  <c r="W76" i="320" s="1"/>
  <c r="W77" i="320" s="1"/>
  <c r="W78" i="320" s="1"/>
  <c r="W79" i="320" s="1"/>
  <c r="W80" i="320" s="1"/>
  <c r="W81" i="320" s="1"/>
  <c r="W82" i="320" s="1"/>
  <c r="W83" i="320" s="1"/>
  <c r="W84" i="320" s="1"/>
  <c r="W85" i="320" s="1"/>
  <c r="W86" i="320" s="1"/>
  <c r="W87" i="320" s="1"/>
  <c r="W88" i="320" s="1"/>
  <c r="W89" i="320" s="1"/>
  <c r="W90" i="320" s="1"/>
  <c r="W91" i="320" s="1"/>
  <c r="W92" i="320" s="1"/>
  <c r="W93" i="320" s="1"/>
  <c r="W94" i="320" s="1"/>
  <c r="W95" i="320" s="1"/>
  <c r="W96" i="320" s="1"/>
  <c r="W97" i="320" s="1"/>
  <c r="W98" i="320" s="1"/>
  <c r="W99" i="320" s="1"/>
  <c r="W100" i="320" s="1"/>
  <c r="W101" i="320" s="1"/>
  <c r="W102" i="320" s="1"/>
  <c r="W103" i="320" s="1"/>
  <c r="W105" i="320" s="1"/>
  <c r="X55" i="319"/>
  <c r="W56" i="319"/>
  <c r="W57" i="319" l="1"/>
  <c r="W58" i="319" s="1"/>
  <c r="W59" i="319" s="1"/>
  <c r="W60" i="319" s="1"/>
  <c r="W61" i="319" s="1"/>
  <c r="W62" i="319" s="1"/>
  <c r="W63" i="319" s="1"/>
  <c r="W64" i="319" s="1"/>
  <c r="W65" i="319" s="1"/>
  <c r="W66" i="319" s="1"/>
  <c r="W67" i="319" s="1"/>
  <c r="W68" i="319" s="1"/>
  <c r="W69" i="319" s="1"/>
  <c r="W70" i="319" s="1"/>
  <c r="W71" i="319" s="1"/>
  <c r="W72" i="319" s="1"/>
  <c r="W73" i="319" s="1"/>
  <c r="W74" i="319" s="1"/>
  <c r="W75" i="319" s="1"/>
  <c r="W76" i="319" s="1"/>
  <c r="W77" i="319" s="1"/>
  <c r="W78" i="319" s="1"/>
  <c r="W79" i="319" s="1"/>
  <c r="W80" i="319" s="1"/>
  <c r="W81" i="319" s="1"/>
  <c r="W82" i="319" s="1"/>
  <c r="W83" i="319" s="1"/>
  <c r="W84" i="319" s="1"/>
  <c r="W85" i="319" s="1"/>
  <c r="W86" i="319" s="1"/>
  <c r="W87" i="319" s="1"/>
  <c r="W88" i="319" s="1"/>
  <c r="W89" i="319" s="1"/>
  <c r="W90" i="319" s="1"/>
  <c r="W91" i="319" s="1"/>
  <c r="W92" i="319" s="1"/>
  <c r="W93" i="319" s="1"/>
  <c r="W94" i="319" s="1"/>
  <c r="W95" i="319" s="1"/>
  <c r="W96" i="319" s="1"/>
  <c r="W97" i="319" s="1"/>
  <c r="W98" i="319" s="1"/>
  <c r="W99" i="319" s="1"/>
  <c r="W100" i="319" s="1"/>
  <c r="W101" i="319" s="1"/>
  <c r="W102" i="319" s="1"/>
  <c r="W103" i="319" s="1"/>
  <c r="W105" i="319" s="1"/>
  <c r="X56" i="319"/>
  <c r="AA67" i="172" l="1"/>
  <c r="Q23" i="172"/>
  <c r="S23" i="172" s="1"/>
  <c r="Q14" i="172"/>
  <c r="Q15" i="172"/>
  <c r="U23" i="172"/>
  <c r="T23" i="172"/>
  <c r="V23" i="172" l="1"/>
  <c r="K23" i="172"/>
  <c r="J16" i="193" l="1"/>
  <c r="W32" i="193" l="1"/>
  <c r="Q26" i="193"/>
  <c r="Q27" i="193" s="1"/>
  <c r="Q28" i="193" s="1"/>
  <c r="Q29" i="193" s="1"/>
  <c r="Q30" i="193" s="1"/>
  <c r="Q31" i="193" s="1"/>
  <c r="Q32" i="193" s="1"/>
  <c r="P26" i="193"/>
  <c r="P27" i="193" s="1"/>
  <c r="P28" i="193" s="1"/>
  <c r="P29" i="193" s="1"/>
  <c r="P30" i="193" s="1"/>
  <c r="P31" i="193" s="1"/>
  <c r="P32" i="193" s="1"/>
  <c r="F26" i="193"/>
  <c r="F27" i="193" s="1"/>
  <c r="F28" i="193" s="1"/>
  <c r="F29" i="193" s="1"/>
  <c r="F30" i="193" s="1"/>
  <c r="F31" i="193" s="1"/>
  <c r="F32" i="193" s="1"/>
  <c r="P25" i="193"/>
  <c r="F25" i="193"/>
  <c r="Q23" i="193"/>
  <c r="Q24" i="193" s="1"/>
  <c r="Q25" i="193" s="1"/>
  <c r="L23" i="193"/>
  <c r="L24" i="193" s="1"/>
  <c r="L25" i="193" s="1"/>
  <c r="L26" i="193" s="1"/>
  <c r="L27" i="193" s="1"/>
  <c r="L28" i="193" s="1"/>
  <c r="L29" i="193" s="1"/>
  <c r="L30" i="193" s="1"/>
  <c r="L31" i="193" s="1"/>
  <c r="L32" i="193" s="1"/>
  <c r="W22" i="193"/>
  <c r="Q22" i="193"/>
  <c r="P22" i="193"/>
  <c r="P23" i="193" s="1"/>
  <c r="P24" i="193" s="1"/>
  <c r="L22" i="193"/>
  <c r="K22" i="193"/>
  <c r="F22" i="193"/>
  <c r="F23" i="193" s="1"/>
  <c r="F24" i="193" s="1"/>
  <c r="E22" i="193"/>
  <c r="E23" i="193" s="1"/>
  <c r="E24" i="193" s="1"/>
  <c r="E25" i="193" s="1"/>
  <c r="E26" i="193" s="1"/>
  <c r="E27" i="193" s="1"/>
  <c r="E28" i="193" s="1"/>
  <c r="E29" i="193" s="1"/>
  <c r="E30" i="193" s="1"/>
  <c r="E31" i="193" s="1"/>
  <c r="E32" i="193" s="1"/>
  <c r="Q21" i="193"/>
  <c r="P21" i="193"/>
  <c r="L21" i="193"/>
  <c r="K21" i="193"/>
  <c r="E20" i="193"/>
  <c r="F19" i="193"/>
  <c r="F20" i="193" s="1"/>
  <c r="F18" i="193"/>
  <c r="E18" i="193"/>
  <c r="E19" i="193" s="1"/>
  <c r="W17" i="193"/>
  <c r="Q17" i="193"/>
  <c r="Q18" i="193" s="1"/>
  <c r="Q19" i="193" s="1"/>
  <c r="Q20" i="193" s="1"/>
  <c r="F17" i="193"/>
  <c r="E17" i="193"/>
  <c r="P16" i="193"/>
  <c r="P17" i="193" s="1"/>
  <c r="P18" i="193" s="1"/>
  <c r="P19" i="193" s="1"/>
  <c r="P20" i="193" s="1"/>
  <c r="L16" i="193"/>
  <c r="K16" i="193"/>
  <c r="W15" i="193"/>
  <c r="L13" i="193"/>
  <c r="L14" i="193" s="1"/>
  <c r="L15" i="193" s="1"/>
  <c r="Q11" i="193"/>
  <c r="L11" i="193"/>
  <c r="L12" i="193" s="1"/>
  <c r="G11" i="193"/>
  <c r="G12" i="193" s="1"/>
  <c r="G13" i="193" s="1"/>
  <c r="G14" i="193" s="1"/>
  <c r="G15" i="193" s="1"/>
  <c r="G16" i="193" s="1"/>
  <c r="G17" i="193" s="1"/>
  <c r="G18" i="193" s="1"/>
  <c r="G19" i="193" s="1"/>
  <c r="G20" i="193" s="1"/>
  <c r="G21" i="193" s="1"/>
  <c r="G22" i="193" s="1"/>
  <c r="G23" i="193" s="1"/>
  <c r="G24" i="193" s="1"/>
  <c r="G25" i="193" s="1"/>
  <c r="G26" i="193" s="1"/>
  <c r="G27" i="193" s="1"/>
  <c r="G28" i="193" s="1"/>
  <c r="G29" i="193" s="1"/>
  <c r="G30" i="193" s="1"/>
  <c r="G31" i="193" s="1"/>
  <c r="G32" i="193" s="1"/>
  <c r="D11" i="193"/>
  <c r="D12" i="193" s="1"/>
  <c r="Q10" i="193"/>
  <c r="P10" i="193"/>
  <c r="L10" i="193"/>
  <c r="K10" i="193"/>
  <c r="G10" i="193"/>
  <c r="F10" i="193"/>
  <c r="E10" i="193"/>
  <c r="E11" i="193" s="1"/>
  <c r="E12" i="193" s="1"/>
  <c r="D10" i="193"/>
  <c r="H10" i="193" s="1"/>
  <c r="J10" i="193" s="1"/>
  <c r="R9" i="193"/>
  <c r="H9" i="193"/>
  <c r="J9" i="193" s="1"/>
  <c r="R10" i="193" l="1"/>
  <c r="M10" i="193"/>
  <c r="N10" i="193" s="1"/>
  <c r="E13" i="193"/>
  <c r="E14" i="193" s="1"/>
  <c r="E15" i="193" s="1"/>
  <c r="E33" i="193"/>
  <c r="E34" i="193" s="1"/>
  <c r="K23" i="193"/>
  <c r="K24" i="193" s="1"/>
  <c r="K25" i="193" s="1"/>
  <c r="K26" i="193" s="1"/>
  <c r="K27" i="193" s="1"/>
  <c r="K28" i="193" s="1"/>
  <c r="K29" i="193" s="1"/>
  <c r="K30" i="193" s="1"/>
  <c r="K31" i="193" s="1"/>
  <c r="K32" i="193" s="1"/>
  <c r="W24" i="193"/>
  <c r="K11" i="193"/>
  <c r="K12" i="193" s="1"/>
  <c r="K13" i="193" s="1"/>
  <c r="K14" i="193" s="1"/>
  <c r="K15" i="193" s="1"/>
  <c r="D13" i="193"/>
  <c r="F11" i="193"/>
  <c r="F12" i="193" s="1"/>
  <c r="F13" i="193" s="1"/>
  <c r="F14" i="193" s="1"/>
  <c r="F15" i="193" s="1"/>
  <c r="L17" i="193"/>
  <c r="L18" i="193" s="1"/>
  <c r="L19" i="193" s="1"/>
  <c r="L20" i="193" s="1"/>
  <c r="W16" i="193"/>
  <c r="G33" i="193"/>
  <c r="G34" i="193" s="1"/>
  <c r="P11" i="193"/>
  <c r="P12" i="193" s="1"/>
  <c r="P13" i="193" s="1"/>
  <c r="P14" i="193" s="1"/>
  <c r="P15" i="193" s="1"/>
  <c r="P33" i="193"/>
  <c r="Q12" i="193"/>
  <c r="Q13" i="193" s="1"/>
  <c r="Q14" i="193" s="1"/>
  <c r="Q15" i="193" s="1"/>
  <c r="M9" i="193"/>
  <c r="S9" i="193"/>
  <c r="W23" i="193"/>
  <c r="K17" i="193"/>
  <c r="K18" i="193" s="1"/>
  <c r="K19" i="193" s="1"/>
  <c r="K20" i="193" s="1"/>
  <c r="W29" i="193" l="1"/>
  <c r="Q33" i="193"/>
  <c r="Q34" i="193" s="1"/>
  <c r="L33" i="193"/>
  <c r="D14" i="193"/>
  <c r="H13" i="193"/>
  <c r="J13" i="193" s="1"/>
  <c r="H12" i="193"/>
  <c r="J12" i="193" s="1"/>
  <c r="S10" i="193"/>
  <c r="P8" i="193"/>
  <c r="F33" i="193"/>
  <c r="F34" i="193" s="1"/>
  <c r="H11" i="193"/>
  <c r="N9" i="193"/>
  <c r="P34" i="193"/>
  <c r="K33" i="193"/>
  <c r="Q8" i="193"/>
  <c r="R12" i="193" l="1"/>
  <c r="S12" i="193" s="1"/>
  <c r="M12" i="193"/>
  <c r="N12" i="193"/>
  <c r="L34" i="193"/>
  <c r="W18" i="193"/>
  <c r="J11" i="193"/>
  <c r="S13" i="193"/>
  <c r="N13" i="193"/>
  <c r="M13" i="193"/>
  <c r="R13" i="193"/>
  <c r="K34" i="193"/>
  <c r="W25" i="193"/>
  <c r="H14" i="193"/>
  <c r="J14" i="193" s="1"/>
  <c r="D15" i="193"/>
  <c r="D16" i="193" l="1"/>
  <c r="H15" i="193"/>
  <c r="R14" i="193"/>
  <c r="M14" i="193"/>
  <c r="N14" i="193"/>
  <c r="S14" i="193"/>
  <c r="R11" i="193"/>
  <c r="M11" i="193"/>
  <c r="J15" i="193" l="1"/>
  <c r="N11" i="193"/>
  <c r="H16" i="193"/>
  <c r="D17" i="193"/>
  <c r="S11" i="193"/>
  <c r="M16" i="193" l="1"/>
  <c r="N16" i="193" s="1"/>
  <c r="R16" i="193"/>
  <c r="S16" i="193" s="1"/>
  <c r="D18" i="193"/>
  <c r="H17" i="193"/>
  <c r="J17" i="193" s="1"/>
  <c r="M15" i="193"/>
  <c r="N15" i="193" s="1"/>
  <c r="R15" i="193"/>
  <c r="R17" i="193" l="1"/>
  <c r="S17" i="193"/>
  <c r="M17" i="193"/>
  <c r="N17" i="193" s="1"/>
  <c r="H18" i="193"/>
  <c r="D19" i="193"/>
  <c r="S15" i="193"/>
  <c r="H19" i="193" l="1"/>
  <c r="J19" i="193" s="1"/>
  <c r="D20" i="193"/>
  <c r="J18" i="193"/>
  <c r="D21" i="193" l="1"/>
  <c r="H20" i="193"/>
  <c r="J20" i="193" s="1"/>
  <c r="S19" i="193"/>
  <c r="N19" i="193"/>
  <c r="R19" i="193"/>
  <c r="M19" i="193"/>
  <c r="R18" i="193"/>
  <c r="S18" i="193" s="1"/>
  <c r="M18" i="193"/>
  <c r="W30" i="193" s="1"/>
  <c r="R20" i="193" l="1"/>
  <c r="M20" i="193"/>
  <c r="N20" i="193" s="1"/>
  <c r="S20" i="193"/>
  <c r="N18" i="193"/>
  <c r="D22" i="193"/>
  <c r="H21" i="193"/>
  <c r="J21" i="193" s="1"/>
  <c r="R21" i="193" l="1"/>
  <c r="S21" i="193" s="1"/>
  <c r="M21" i="193"/>
  <c r="N21" i="193"/>
  <c r="H22" i="193"/>
  <c r="J22" i="193" s="1"/>
  <c r="D23" i="193"/>
  <c r="D24" i="193" l="1"/>
  <c r="H23" i="193"/>
  <c r="J23" i="193" s="1"/>
  <c r="S22" i="193"/>
  <c r="N22" i="193"/>
  <c r="R22" i="193"/>
  <c r="M22" i="193"/>
  <c r="M23" i="193" l="1"/>
  <c r="N23" i="193" s="1"/>
  <c r="R23" i="193"/>
  <c r="S23" i="193" s="1"/>
  <c r="D25" i="193"/>
  <c r="H24" i="193"/>
  <c r="J24" i="193" s="1"/>
  <c r="R24" i="193" l="1"/>
  <c r="S24" i="193" s="1"/>
  <c r="M24" i="193"/>
  <c r="W31" i="193" s="1"/>
  <c r="H25" i="193"/>
  <c r="J25" i="193" s="1"/>
  <c r="D26" i="193"/>
  <c r="N24" i="193" l="1"/>
  <c r="H26" i="193"/>
  <c r="J26" i="193" s="1"/>
  <c r="D27" i="193"/>
  <c r="R25" i="193"/>
  <c r="S25" i="193" s="1"/>
  <c r="M25" i="193"/>
  <c r="N25" i="193"/>
  <c r="D28" i="193" l="1"/>
  <c r="H27" i="193"/>
  <c r="J27" i="193" s="1"/>
  <c r="S26" i="193"/>
  <c r="N26" i="193"/>
  <c r="R26" i="193"/>
  <c r="M26" i="193"/>
  <c r="M27" i="193" l="1"/>
  <c r="N27" i="193" s="1"/>
  <c r="R27" i="193"/>
  <c r="S27" i="193" s="1"/>
  <c r="H28" i="193"/>
  <c r="J28" i="193" s="1"/>
  <c r="D29" i="193"/>
  <c r="D30" i="193" l="1"/>
  <c r="H29" i="193"/>
  <c r="J29" i="193" s="1"/>
  <c r="S28" i="193"/>
  <c r="N28" i="193"/>
  <c r="R28" i="193"/>
  <c r="M28" i="193"/>
  <c r="M29" i="193" l="1"/>
  <c r="R29" i="193"/>
  <c r="S29" i="193" s="1"/>
  <c r="N29" i="193"/>
  <c r="H30" i="193"/>
  <c r="J30" i="193" s="1"/>
  <c r="D31" i="193"/>
  <c r="H31" i="193" l="1"/>
  <c r="J31" i="193" s="1"/>
  <c r="D32" i="193"/>
  <c r="R30" i="193"/>
  <c r="S30" i="193" s="1"/>
  <c r="M30" i="193"/>
  <c r="N30" i="193" s="1"/>
  <c r="H32" i="193" l="1"/>
  <c r="D33" i="193"/>
  <c r="D34" i="193" s="1"/>
  <c r="S31" i="193"/>
  <c r="N31" i="193"/>
  <c r="R31" i="193"/>
  <c r="M31" i="193"/>
  <c r="J32" i="193" l="1"/>
  <c r="H33" i="193"/>
  <c r="R32" i="193" l="1"/>
  <c r="M32" i="193"/>
  <c r="M33" i="193" s="1"/>
  <c r="M34" i="193" s="1"/>
  <c r="J33" i="193"/>
  <c r="R8" i="193" l="1"/>
  <c r="R33" i="193"/>
  <c r="N32" i="193"/>
  <c r="N33" i="193" s="1"/>
  <c r="N34" i="193" s="1"/>
  <c r="S32" i="193"/>
  <c r="S33" i="193" s="1"/>
  <c r="S34" i="193" s="1"/>
  <c r="R34" i="193" l="1"/>
  <c r="AA15" i="172" l="1"/>
  <c r="P170" i="172"/>
  <c r="I170" i="172"/>
  <c r="Q169" i="172"/>
  <c r="R169" i="172" s="1"/>
  <c r="Q168" i="172"/>
  <c r="R168" i="172" s="1"/>
  <c r="J168" i="172"/>
  <c r="K168" i="172" s="1"/>
  <c r="Q167" i="172"/>
  <c r="R167" i="172" s="1"/>
  <c r="J167" i="172"/>
  <c r="K167" i="172" s="1"/>
  <c r="Q162" i="172"/>
  <c r="I162" i="172"/>
  <c r="R160" i="172"/>
  <c r="T160" i="172" s="1"/>
  <c r="J160" i="172"/>
  <c r="L160" i="172" s="1"/>
  <c r="T159" i="172"/>
  <c r="R159" i="172"/>
  <c r="J159" i="172"/>
  <c r="L159" i="172" s="1"/>
  <c r="T158" i="172"/>
  <c r="R158" i="172"/>
  <c r="J158" i="172"/>
  <c r="L158" i="172" s="1"/>
  <c r="I151" i="172"/>
  <c r="K138" i="172"/>
  <c r="J138" i="172"/>
  <c r="I138" i="172"/>
  <c r="J137" i="172"/>
  <c r="I137" i="172"/>
  <c r="J136" i="172"/>
  <c r="I136" i="172"/>
  <c r="K136" i="172" s="1"/>
  <c r="J135" i="172"/>
  <c r="I135" i="172"/>
  <c r="J134" i="172"/>
  <c r="I134" i="172"/>
  <c r="J133" i="172"/>
  <c r="I133" i="172"/>
  <c r="J132" i="172"/>
  <c r="I132" i="172"/>
  <c r="K131" i="172"/>
  <c r="J131" i="172"/>
  <c r="I131" i="172"/>
  <c r="J130" i="172"/>
  <c r="I130" i="172"/>
  <c r="J129" i="172"/>
  <c r="I129" i="172"/>
  <c r="J128" i="172"/>
  <c r="I128" i="172"/>
  <c r="I125" i="172"/>
  <c r="I124" i="172"/>
  <c r="J124" i="172" s="1"/>
  <c r="J123" i="172"/>
  <c r="J149" i="172" s="1"/>
  <c r="I123" i="172"/>
  <c r="J122" i="172"/>
  <c r="I122" i="172"/>
  <c r="I121" i="172"/>
  <c r="J121" i="172" s="1"/>
  <c r="I119" i="172"/>
  <c r="I118" i="172"/>
  <c r="I144" i="172" s="1"/>
  <c r="I117" i="172"/>
  <c r="I116" i="172"/>
  <c r="AC115" i="172"/>
  <c r="J115" i="172"/>
  <c r="B115" i="172"/>
  <c r="P106" i="172"/>
  <c r="P105" i="172"/>
  <c r="M105" i="172"/>
  <c r="J105" i="172"/>
  <c r="B105" i="172"/>
  <c r="U103" i="172"/>
  <c r="T103" i="172"/>
  <c r="S103" i="172"/>
  <c r="Q103" i="172"/>
  <c r="K103" i="172"/>
  <c r="U102" i="172"/>
  <c r="T102" i="172"/>
  <c r="S102" i="172"/>
  <c r="Q102" i="172"/>
  <c r="K102" i="172"/>
  <c r="U101" i="172"/>
  <c r="T101" i="172"/>
  <c r="S101" i="172"/>
  <c r="Q101" i="172"/>
  <c r="K101" i="172"/>
  <c r="U100" i="172"/>
  <c r="T100" i="172"/>
  <c r="S100" i="172"/>
  <c r="Q100" i="172"/>
  <c r="K100" i="172"/>
  <c r="U99" i="172"/>
  <c r="T99" i="172"/>
  <c r="S99" i="172"/>
  <c r="Q99" i="172"/>
  <c r="K99" i="172"/>
  <c r="U98" i="172"/>
  <c r="T98" i="172"/>
  <c r="S98" i="172"/>
  <c r="Q98" i="172"/>
  <c r="K98" i="172"/>
  <c r="U97" i="172"/>
  <c r="T97" i="172"/>
  <c r="S97" i="172"/>
  <c r="Q97" i="172"/>
  <c r="K97" i="172"/>
  <c r="U96" i="172"/>
  <c r="T96" i="172"/>
  <c r="S96" i="172"/>
  <c r="Q96" i="172"/>
  <c r="K96" i="172"/>
  <c r="U95" i="172"/>
  <c r="T95" i="172"/>
  <c r="S95" i="172"/>
  <c r="Q95" i="172"/>
  <c r="K95" i="172"/>
  <c r="U94" i="172"/>
  <c r="T94" i="172"/>
  <c r="S94" i="172"/>
  <c r="Q94" i="172"/>
  <c r="K94" i="172"/>
  <c r="U93" i="172"/>
  <c r="T93" i="172"/>
  <c r="S93" i="172"/>
  <c r="Q93" i="172"/>
  <c r="K93" i="172"/>
  <c r="AA92" i="172"/>
  <c r="U92" i="172"/>
  <c r="T92" i="172"/>
  <c r="S92" i="172"/>
  <c r="Q92" i="172"/>
  <c r="K92" i="172"/>
  <c r="U91" i="172"/>
  <c r="T91" i="172"/>
  <c r="S91" i="172"/>
  <c r="Q91" i="172"/>
  <c r="K91" i="172"/>
  <c r="U90" i="172"/>
  <c r="T90" i="172"/>
  <c r="S90" i="172"/>
  <c r="Q90" i="172"/>
  <c r="K90" i="172"/>
  <c r="U89" i="172"/>
  <c r="T89" i="172"/>
  <c r="S89" i="172"/>
  <c r="Q89" i="172"/>
  <c r="K89" i="172"/>
  <c r="U88" i="172"/>
  <c r="T88" i="172"/>
  <c r="S88" i="172"/>
  <c r="Q88" i="172"/>
  <c r="K88" i="172"/>
  <c r="AE87" i="172"/>
  <c r="AF86" i="172" s="1"/>
  <c r="AG86" i="172" s="1"/>
  <c r="AH86" i="172" s="1"/>
  <c r="AH87" i="172" s="1"/>
  <c r="AH88" i="172" s="1"/>
  <c r="AA87" i="172"/>
  <c r="Y87" i="172"/>
  <c r="U87" i="172"/>
  <c r="T87" i="172"/>
  <c r="S87" i="172"/>
  <c r="Q87" i="172"/>
  <c r="K87" i="172"/>
  <c r="U86" i="172"/>
  <c r="T86" i="172"/>
  <c r="S86" i="172"/>
  <c r="Q86" i="172"/>
  <c r="K86" i="172"/>
  <c r="U85" i="172"/>
  <c r="T85" i="172"/>
  <c r="S85" i="172"/>
  <c r="Q85" i="172"/>
  <c r="K85" i="172"/>
  <c r="U84" i="172"/>
  <c r="T84" i="172"/>
  <c r="S84" i="172"/>
  <c r="Q84" i="172"/>
  <c r="K84" i="172"/>
  <c r="U83" i="172"/>
  <c r="T83" i="172"/>
  <c r="S83" i="172"/>
  <c r="Q83" i="172"/>
  <c r="K83" i="172"/>
  <c r="U82" i="172"/>
  <c r="T82" i="172"/>
  <c r="S82" i="172"/>
  <c r="Q82" i="172"/>
  <c r="K82" i="172"/>
  <c r="AA81" i="172"/>
  <c r="AA86" i="172" s="1"/>
  <c r="AB86" i="172" s="1"/>
  <c r="AC86" i="172" s="1"/>
  <c r="AD86" i="172" s="1"/>
  <c r="AD87" i="172" s="1"/>
  <c r="AD88" i="172" s="1"/>
  <c r="Z81" i="172"/>
  <c r="U81" i="172"/>
  <c r="T81" i="172"/>
  <c r="S81" i="172"/>
  <c r="Q81" i="172"/>
  <c r="K81" i="172"/>
  <c r="AI80" i="172"/>
  <c r="U80" i="172"/>
  <c r="T80" i="172"/>
  <c r="S80" i="172"/>
  <c r="Q80" i="172"/>
  <c r="K80" i="172"/>
  <c r="AI79" i="172"/>
  <c r="U79" i="172"/>
  <c r="T79" i="172"/>
  <c r="S79" i="172"/>
  <c r="Q79" i="172"/>
  <c r="K79" i="172"/>
  <c r="AI78" i="172"/>
  <c r="U78" i="172"/>
  <c r="T78" i="172"/>
  <c r="S78" i="172"/>
  <c r="Q78" i="172"/>
  <c r="K78" i="172"/>
  <c r="U77" i="172"/>
  <c r="T77" i="172"/>
  <c r="S77" i="172"/>
  <c r="Q77" i="172"/>
  <c r="K77" i="172"/>
  <c r="U76" i="172"/>
  <c r="T76" i="172"/>
  <c r="S76" i="172"/>
  <c r="Q76" i="172"/>
  <c r="K76" i="172"/>
  <c r="U75" i="172"/>
  <c r="T75" i="172"/>
  <c r="S75" i="172"/>
  <c r="Q75" i="172"/>
  <c r="K75" i="172"/>
  <c r="U74" i="172"/>
  <c r="T74" i="172"/>
  <c r="S74" i="172"/>
  <c r="Q74" i="172"/>
  <c r="K74" i="172"/>
  <c r="AP73" i="172"/>
  <c r="AQ73" i="172" s="1"/>
  <c r="AD73" i="172"/>
  <c r="Z73" i="172"/>
  <c r="U73" i="172"/>
  <c r="T73" i="172"/>
  <c r="S73" i="172"/>
  <c r="Q73" i="172"/>
  <c r="K73" i="172"/>
  <c r="U72" i="172"/>
  <c r="T72" i="172"/>
  <c r="S72" i="172"/>
  <c r="Q72" i="172"/>
  <c r="K72" i="172"/>
  <c r="U71" i="172"/>
  <c r="T71" i="172"/>
  <c r="S71" i="172"/>
  <c r="Q71" i="172"/>
  <c r="K71" i="172"/>
  <c r="U70" i="172"/>
  <c r="T70" i="172"/>
  <c r="S70" i="172"/>
  <c r="Q70" i="172"/>
  <c r="K70" i="172"/>
  <c r="U69" i="172"/>
  <c r="T69" i="172"/>
  <c r="S69" i="172"/>
  <c r="Q69" i="172"/>
  <c r="K69" i="172"/>
  <c r="U68" i="172"/>
  <c r="T68" i="172"/>
  <c r="S68" i="172"/>
  <c r="Q68" i="172"/>
  <c r="K68" i="172"/>
  <c r="AL67" i="172"/>
  <c r="U67" i="172"/>
  <c r="T67" i="172"/>
  <c r="S67" i="172"/>
  <c r="Q67" i="172"/>
  <c r="K67" i="172"/>
  <c r="AF66" i="172"/>
  <c r="U66" i="172"/>
  <c r="T66" i="172"/>
  <c r="S66" i="172"/>
  <c r="Q66" i="172"/>
  <c r="K66" i="172"/>
  <c r="AF65" i="172"/>
  <c r="U65" i="172"/>
  <c r="T65" i="172"/>
  <c r="S65" i="172"/>
  <c r="Q65" i="172"/>
  <c r="K65" i="172"/>
  <c r="AL64" i="172"/>
  <c r="U64" i="172"/>
  <c r="T64" i="172"/>
  <c r="S64" i="172"/>
  <c r="Q64" i="172"/>
  <c r="K64" i="172"/>
  <c r="U63" i="172"/>
  <c r="T63" i="172"/>
  <c r="S63" i="172"/>
  <c r="Q63" i="172"/>
  <c r="K63" i="172"/>
  <c r="AC62" i="172"/>
  <c r="U62" i="172"/>
  <c r="T62" i="172"/>
  <c r="S62" i="172"/>
  <c r="Q62" i="172"/>
  <c r="K62" i="172"/>
  <c r="U61" i="172"/>
  <c r="T61" i="172"/>
  <c r="S61" i="172"/>
  <c r="Q61" i="172"/>
  <c r="K61" i="172"/>
  <c r="AL60" i="172"/>
  <c r="U60" i="172"/>
  <c r="T60" i="172"/>
  <c r="S60" i="172"/>
  <c r="Q60" i="172"/>
  <c r="K60" i="172"/>
  <c r="AH59" i="172"/>
  <c r="AE59" i="172"/>
  <c r="AG59" i="172" s="1"/>
  <c r="AI59" i="172" s="1"/>
  <c r="AB59" i="172"/>
  <c r="AA59" i="172"/>
  <c r="AC79" i="172" s="1"/>
  <c r="U59" i="172"/>
  <c r="T59" i="172"/>
  <c r="S59" i="172"/>
  <c r="Q59" i="172"/>
  <c r="K59" i="172"/>
  <c r="AB58" i="172"/>
  <c r="AA58" i="172"/>
  <c r="U58" i="172"/>
  <c r="T58" i="172"/>
  <c r="S58" i="172"/>
  <c r="Q58" i="172"/>
  <c r="K58" i="172"/>
  <c r="T57" i="172"/>
  <c r="S57" i="172"/>
  <c r="Q57" i="172"/>
  <c r="U57" i="172" s="1"/>
  <c r="K57" i="172"/>
  <c r="U56" i="172"/>
  <c r="T56" i="172"/>
  <c r="S56" i="172"/>
  <c r="Q56" i="172"/>
  <c r="K56" i="172"/>
  <c r="AL55" i="172"/>
  <c r="U55" i="172"/>
  <c r="S55" i="172"/>
  <c r="Q55" i="172"/>
  <c r="T55" i="172" s="1"/>
  <c r="K55" i="172"/>
  <c r="U54" i="172"/>
  <c r="T54" i="172"/>
  <c r="S54" i="172"/>
  <c r="Q54" i="172"/>
  <c r="K54" i="172"/>
  <c r="AM53" i="172"/>
  <c r="AM55" i="172" s="1"/>
  <c r="Y53" i="172"/>
  <c r="U53" i="172"/>
  <c r="T53" i="172"/>
  <c r="Q53" i="172"/>
  <c r="S53" i="172" s="1"/>
  <c r="K53" i="172"/>
  <c r="U52" i="172"/>
  <c r="T52" i="172"/>
  <c r="S52" i="172"/>
  <c r="Q52" i="172"/>
  <c r="K52" i="172"/>
  <c r="Y51" i="172"/>
  <c r="U51" i="172"/>
  <c r="T51" i="172"/>
  <c r="S51" i="172"/>
  <c r="R105" i="172"/>
  <c r="K51" i="172"/>
  <c r="AB50" i="172"/>
  <c r="U50" i="172"/>
  <c r="T50" i="172"/>
  <c r="Q50" i="172"/>
  <c r="S50" i="172" s="1"/>
  <c r="K50" i="172"/>
  <c r="Y49" i="172"/>
  <c r="Z49" i="172" s="1"/>
  <c r="U49" i="172"/>
  <c r="T49" i="172"/>
  <c r="S49" i="172"/>
  <c r="Q49" i="172"/>
  <c r="K49" i="172"/>
  <c r="Y48" i="172"/>
  <c r="Z48" i="172" s="1"/>
  <c r="U48" i="172"/>
  <c r="T48" i="172"/>
  <c r="S48" i="172"/>
  <c r="Q48" i="172"/>
  <c r="K48" i="172"/>
  <c r="U47" i="172"/>
  <c r="T47" i="172"/>
  <c r="S47" i="172"/>
  <c r="Q47" i="172"/>
  <c r="K47" i="172"/>
  <c r="AF46" i="172"/>
  <c r="U46" i="172"/>
  <c r="T46" i="172"/>
  <c r="Q46" i="172"/>
  <c r="S46" i="172" s="1"/>
  <c r="K46" i="172"/>
  <c r="AB45" i="172"/>
  <c r="AA45" i="172"/>
  <c r="U45" i="172"/>
  <c r="T45" i="172"/>
  <c r="S45" i="172"/>
  <c r="Q45" i="172"/>
  <c r="K45" i="172"/>
  <c r="AE44" i="172"/>
  <c r="AE46" i="172" s="1"/>
  <c r="AB44" i="172"/>
  <c r="AA44" i="172"/>
  <c r="U44" i="172"/>
  <c r="T44" i="172"/>
  <c r="S44" i="172"/>
  <c r="Q44" i="172"/>
  <c r="K44" i="172"/>
  <c r="AB43" i="172"/>
  <c r="AA43" i="172"/>
  <c r="U43" i="172"/>
  <c r="T43" i="172"/>
  <c r="S43" i="172"/>
  <c r="Q43" i="172"/>
  <c r="K43" i="172"/>
  <c r="U42" i="172"/>
  <c r="T42" i="172"/>
  <c r="Q42" i="172"/>
  <c r="S42" i="172" s="1"/>
  <c r="K42" i="172"/>
  <c r="U41" i="172"/>
  <c r="T41" i="172"/>
  <c r="S41" i="172"/>
  <c r="Q41" i="172"/>
  <c r="K41" i="172"/>
  <c r="U40" i="172"/>
  <c r="T40" i="172"/>
  <c r="S40" i="172"/>
  <c r="K40" i="172"/>
  <c r="AH39" i="172"/>
  <c r="U39" i="172"/>
  <c r="T39" i="172"/>
  <c r="S39" i="172"/>
  <c r="Q39" i="172"/>
  <c r="K39" i="172"/>
  <c r="U38" i="172"/>
  <c r="T38" i="172"/>
  <c r="Q38" i="172"/>
  <c r="S38" i="172" s="1"/>
  <c r="K38" i="172"/>
  <c r="U37" i="172"/>
  <c r="T37" i="172"/>
  <c r="S37" i="172"/>
  <c r="Q37" i="172"/>
  <c r="K37" i="172"/>
  <c r="Z36" i="172"/>
  <c r="U36" i="172"/>
  <c r="T36" i="172"/>
  <c r="S36" i="172"/>
  <c r="Q36" i="172"/>
  <c r="K36" i="172"/>
  <c r="Z35" i="172"/>
  <c r="U35" i="172"/>
  <c r="T35" i="172"/>
  <c r="S35" i="172"/>
  <c r="Q35" i="172"/>
  <c r="K35" i="172"/>
  <c r="AI34" i="172"/>
  <c r="AH34" i="172"/>
  <c r="AC34" i="172"/>
  <c r="AD34" i="172" s="1"/>
  <c r="U34" i="172"/>
  <c r="T34" i="172"/>
  <c r="S34" i="172"/>
  <c r="Q34" i="172"/>
  <c r="K34" i="172"/>
  <c r="U33" i="172"/>
  <c r="T33" i="172"/>
  <c r="S33" i="172"/>
  <c r="Q33" i="172"/>
  <c r="K33" i="172"/>
  <c r="U32" i="172"/>
  <c r="T32" i="172"/>
  <c r="S32" i="172"/>
  <c r="Q32" i="172"/>
  <c r="K32" i="172"/>
  <c r="U31" i="172"/>
  <c r="T31" i="172"/>
  <c r="S31" i="172"/>
  <c r="Q31" i="172"/>
  <c r="K31" i="172"/>
  <c r="U30" i="172"/>
  <c r="T30" i="172"/>
  <c r="S30" i="172"/>
  <c r="Q30" i="172"/>
  <c r="K30" i="172"/>
  <c r="U29" i="172"/>
  <c r="J125" i="172" s="1"/>
  <c r="K125" i="172" s="1"/>
  <c r="T29" i="172"/>
  <c r="S29" i="172"/>
  <c r="Q29" i="172"/>
  <c r="K29" i="172"/>
  <c r="AA28" i="172"/>
  <c r="U28" i="172"/>
  <c r="T28" i="172"/>
  <c r="S28" i="172"/>
  <c r="Q28" i="172"/>
  <c r="K28" i="172"/>
  <c r="AC27" i="172"/>
  <c r="AA27" i="172"/>
  <c r="U27" i="172"/>
  <c r="T27" i="172"/>
  <c r="S27" i="172"/>
  <c r="Q27" i="172"/>
  <c r="K27" i="172"/>
  <c r="AC26" i="172"/>
  <c r="AE26" i="172" s="1"/>
  <c r="T26" i="172"/>
  <c r="S26" i="172"/>
  <c r="Q26" i="172"/>
  <c r="U26" i="172" s="1"/>
  <c r="K26" i="172"/>
  <c r="AE25" i="172"/>
  <c r="U25" i="172"/>
  <c r="T25" i="172"/>
  <c r="Q25" i="172"/>
  <c r="S25" i="172" s="1"/>
  <c r="K25" i="172"/>
  <c r="U24" i="172"/>
  <c r="T24" i="172"/>
  <c r="S24" i="172"/>
  <c r="Q24" i="172"/>
  <c r="K24" i="172"/>
  <c r="U22" i="172"/>
  <c r="Q22" i="172"/>
  <c r="S22" i="172" s="1"/>
  <c r="K22" i="172"/>
  <c r="U21" i="172"/>
  <c r="S21" i="172"/>
  <c r="Q21" i="172"/>
  <c r="T21" i="172" s="1"/>
  <c r="K21" i="172"/>
  <c r="U20" i="172"/>
  <c r="T20" i="172"/>
  <c r="Q20" i="172"/>
  <c r="S20" i="172" s="1"/>
  <c r="K20" i="172"/>
  <c r="U19" i="172"/>
  <c r="T19" i="172"/>
  <c r="Q19" i="172"/>
  <c r="S19" i="172" s="1"/>
  <c r="K19" i="172"/>
  <c r="U18" i="172"/>
  <c r="S18" i="172"/>
  <c r="Q18" i="172"/>
  <c r="T18" i="172" s="1"/>
  <c r="K18" i="172"/>
  <c r="U17" i="172"/>
  <c r="Q17" i="172"/>
  <c r="S17" i="172" s="1"/>
  <c r="K17" i="172"/>
  <c r="U16" i="172"/>
  <c r="T16" i="172"/>
  <c r="S16" i="172"/>
  <c r="K16" i="172"/>
  <c r="U15" i="172"/>
  <c r="T15" i="172"/>
  <c r="S15" i="172"/>
  <c r="K15" i="172"/>
  <c r="U14" i="172"/>
  <c r="T14" i="172"/>
  <c r="S14" i="172"/>
  <c r="K14" i="172"/>
  <c r="U13" i="172"/>
  <c r="T13" i="172"/>
  <c r="Q13" i="172"/>
  <c r="S13" i="172" s="1"/>
  <c r="K13" i="172"/>
  <c r="AC12" i="172"/>
  <c r="AB12" i="172"/>
  <c r="AA12" i="172"/>
  <c r="U12" i="172"/>
  <c r="T12" i="172"/>
  <c r="Q12" i="172"/>
  <c r="S12" i="172" s="1"/>
  <c r="K12" i="172"/>
  <c r="AH11" i="172"/>
  <c r="AE11" i="172"/>
  <c r="AA11" i="172"/>
  <c r="U11" i="172"/>
  <c r="T11" i="172"/>
  <c r="Q11" i="172"/>
  <c r="S11" i="172" s="1"/>
  <c r="K11" i="172"/>
  <c r="AH10" i="172"/>
  <c r="AE10" i="172"/>
  <c r="AB10" i="172"/>
  <c r="U10" i="172"/>
  <c r="T10" i="172"/>
  <c r="Q10" i="172"/>
  <c r="S10" i="172" s="1"/>
  <c r="K10" i="172"/>
  <c r="U9" i="172"/>
  <c r="Q9" i="172"/>
  <c r="S9" i="172" s="1"/>
  <c r="K9" i="172"/>
  <c r="U8" i="172"/>
  <c r="T8" i="172"/>
  <c r="Q8" i="172"/>
  <c r="S8" i="172" s="1"/>
  <c r="K8" i="172"/>
  <c r="Z7" i="172"/>
  <c r="U7" i="172"/>
  <c r="Q7" i="172"/>
  <c r="Z6" i="172"/>
  <c r="U6" i="172"/>
  <c r="T6" i="172"/>
  <c r="Q6" i="172"/>
  <c r="S6" i="172" s="1"/>
  <c r="K6" i="172"/>
  <c r="AM5" i="172"/>
  <c r="AM6" i="172" s="1"/>
  <c r="AM8" i="172" s="1"/>
  <c r="AL5" i="172"/>
  <c r="AL6" i="172" s="1"/>
  <c r="AL8" i="172" s="1"/>
  <c r="AK5" i="172"/>
  <c r="AK6" i="172" s="1"/>
  <c r="AK8" i="172" s="1"/>
  <c r="AJ5" i="172"/>
  <c r="AJ6" i="172" s="1"/>
  <c r="AJ8" i="172" s="1"/>
  <c r="U5" i="172"/>
  <c r="Q5" i="172"/>
  <c r="S5" i="172" s="1"/>
  <c r="K5" i="172"/>
  <c r="U4" i="172"/>
  <c r="S4" i="172"/>
  <c r="Q4" i="172"/>
  <c r="T4" i="172" s="1"/>
  <c r="K4" i="172"/>
  <c r="AO3" i="172"/>
  <c r="U3" i="172"/>
  <c r="S3" i="172"/>
  <c r="Q3" i="172"/>
  <c r="T3" i="172" s="1"/>
  <c r="K3" i="172"/>
  <c r="U2" i="172"/>
  <c r="Q2" i="172"/>
  <c r="S2" i="172" s="1"/>
  <c r="K2" i="172"/>
  <c r="AT5" i="172" l="1"/>
  <c r="AU5" i="172" s="1"/>
  <c r="AT16" i="172"/>
  <c r="AU16" i="172" s="1"/>
  <c r="T2" i="172"/>
  <c r="V2" i="172" s="1"/>
  <c r="T22" i="172"/>
  <c r="V22" i="172" s="1"/>
  <c r="T5" i="172"/>
  <c r="V5" i="172" s="1"/>
  <c r="T17" i="172"/>
  <c r="V17" i="172" s="1"/>
  <c r="AM72" i="172"/>
  <c r="AN73" i="172" s="1"/>
  <c r="AO73" i="172" s="1"/>
  <c r="AT13" i="172"/>
  <c r="AU13" i="172" s="1"/>
  <c r="AT14" i="172"/>
  <c r="AU14" i="172" s="1"/>
  <c r="K137" i="172"/>
  <c r="K150" i="172" s="1"/>
  <c r="Z10" i="172"/>
  <c r="Z14" i="172" s="1"/>
  <c r="Z18" i="172" s="1"/>
  <c r="Z24" i="172" s="1"/>
  <c r="AT7" i="172"/>
  <c r="AU7" i="172" s="1"/>
  <c r="AT11" i="172"/>
  <c r="AU11" i="172" s="1"/>
  <c r="V93" i="172"/>
  <c r="Z16" i="172"/>
  <c r="AA16" i="172" s="1"/>
  <c r="V76" i="172"/>
  <c r="V87" i="172"/>
  <c r="V88" i="172"/>
  <c r="V86" i="172"/>
  <c r="V89" i="172"/>
  <c r="V95" i="172"/>
  <c r="V99" i="172"/>
  <c r="V103" i="172"/>
  <c r="I148" i="172"/>
  <c r="J150" i="172"/>
  <c r="K129" i="172"/>
  <c r="AB61" i="172"/>
  <c r="N94" i="172"/>
  <c r="O102" i="172" s="1"/>
  <c r="V15" i="172"/>
  <c r="J148" i="172"/>
  <c r="AT22" i="172"/>
  <c r="AU22" i="172" s="1"/>
  <c r="AT17" i="172"/>
  <c r="AU17" i="172" s="1"/>
  <c r="V30" i="172"/>
  <c r="Z37" i="172"/>
  <c r="V40" i="172"/>
  <c r="AC44" i="172"/>
  <c r="AC45" i="172"/>
  <c r="V94" i="172"/>
  <c r="V96" i="172"/>
  <c r="V98" i="172"/>
  <c r="V100" i="172"/>
  <c r="V102" i="172"/>
  <c r="J147" i="172"/>
  <c r="K130" i="172"/>
  <c r="K132" i="172"/>
  <c r="V80" i="172"/>
  <c r="AH12" i="172"/>
  <c r="AE27" i="172"/>
  <c r="V41" i="172"/>
  <c r="AC43" i="172"/>
  <c r="V48" i="172"/>
  <c r="V52" i="172"/>
  <c r="V59" i="172"/>
  <c r="V62" i="172"/>
  <c r="V72" i="172"/>
  <c r="V82" i="172"/>
  <c r="V84" i="172"/>
  <c r="X84" i="172" s="1"/>
  <c r="J141" i="172"/>
  <c r="K134" i="172"/>
  <c r="N56" i="172"/>
  <c r="O74" i="172" s="1"/>
  <c r="K135" i="172"/>
  <c r="AT6" i="172"/>
  <c r="AU6" i="172" s="1"/>
  <c r="V14" i="172"/>
  <c r="V35" i="172"/>
  <c r="V38" i="172"/>
  <c r="AT9" i="172"/>
  <c r="AU9" i="172" s="1"/>
  <c r="V49" i="172"/>
  <c r="V50" i="172"/>
  <c r="N81" i="172"/>
  <c r="O82" i="172" s="1"/>
  <c r="V81" i="172"/>
  <c r="V90" i="172"/>
  <c r="V92" i="172"/>
  <c r="V97" i="172"/>
  <c r="V101" i="172"/>
  <c r="K128" i="172"/>
  <c r="K133" i="172"/>
  <c r="V18" i="172"/>
  <c r="V24" i="172"/>
  <c r="J151" i="172"/>
  <c r="K151" i="172" s="1"/>
  <c r="T9" i="172"/>
  <c r="V9" i="172" s="1"/>
  <c r="V65" i="172"/>
  <c r="V6" i="172"/>
  <c r="V19" i="172"/>
  <c r="V20" i="172"/>
  <c r="AA9" i="172"/>
  <c r="V51" i="172"/>
  <c r="V107" i="172" s="1"/>
  <c r="V109" i="172" s="1"/>
  <c r="V68" i="172"/>
  <c r="V67" i="172"/>
  <c r="V56" i="172"/>
  <c r="V71" i="172"/>
  <c r="V75" i="172"/>
  <c r="V77" i="172"/>
  <c r="V66" i="172"/>
  <c r="V58" i="172"/>
  <c r="V60" i="172"/>
  <c r="V70" i="172"/>
  <c r="V79" i="172"/>
  <c r="V61" i="172"/>
  <c r="V64" i="172"/>
  <c r="V78" i="172"/>
  <c r="N50" i="172"/>
  <c r="K121" i="172"/>
  <c r="I147" i="172"/>
  <c r="V32" i="172"/>
  <c r="V36" i="172"/>
  <c r="V31" i="172"/>
  <c r="V44" i="172"/>
  <c r="V53" i="172"/>
  <c r="V33" i="172"/>
  <c r="V37" i="172"/>
  <c r="V55" i="172"/>
  <c r="V10" i="172"/>
  <c r="V12" i="172"/>
  <c r="V25" i="172"/>
  <c r="V27" i="172"/>
  <c r="V4" i="172"/>
  <c r="V13" i="172"/>
  <c r="V16" i="172"/>
  <c r="J117" i="172"/>
  <c r="J143" i="172" s="1"/>
  <c r="I143" i="172"/>
  <c r="V11" i="172"/>
  <c r="V21" i="172"/>
  <c r="K122" i="172"/>
  <c r="AT12" i="172"/>
  <c r="AU12" i="172" s="1"/>
  <c r="AT4" i="172"/>
  <c r="AU4" i="172" s="1"/>
  <c r="V3" i="172"/>
  <c r="H105" i="172"/>
  <c r="H107" i="172" s="1"/>
  <c r="H108" i="172" s="1"/>
  <c r="AA42" i="172"/>
  <c r="S7" i="172"/>
  <c r="S105" i="172" s="1"/>
  <c r="K7" i="172"/>
  <c r="N2" i="172" s="1"/>
  <c r="I115" i="172"/>
  <c r="AT15" i="172"/>
  <c r="AU15" i="172" s="1"/>
  <c r="V26" i="172"/>
  <c r="V28" i="172"/>
  <c r="V29" i="172"/>
  <c r="AD36" i="172"/>
  <c r="AD35" i="172"/>
  <c r="V57" i="172"/>
  <c r="AC78" i="172"/>
  <c r="I142" i="172"/>
  <c r="J116" i="172"/>
  <c r="J142" i="172" s="1"/>
  <c r="N27" i="172"/>
  <c r="O37" i="172" s="1"/>
  <c r="N85" i="172"/>
  <c r="O92" i="172" s="1"/>
  <c r="Q105" i="172"/>
  <c r="AT8" i="172"/>
  <c r="AU8" i="172" s="1"/>
  <c r="V8" i="172"/>
  <c r="AT18" i="172"/>
  <c r="AU18" i="172" s="1"/>
  <c r="I105" i="172"/>
  <c r="I107" i="172" s="1"/>
  <c r="AB42" i="172"/>
  <c r="AT19" i="172"/>
  <c r="AU19" i="172" s="1"/>
  <c r="AD26" i="172"/>
  <c r="AD27" i="172" s="1"/>
  <c r="V34" i="172"/>
  <c r="V42" i="172"/>
  <c r="V43" i="172"/>
  <c r="V45" i="172"/>
  <c r="V46" i="172"/>
  <c r="AB62" i="172"/>
  <c r="Z72" i="172"/>
  <c r="Y55" i="172"/>
  <c r="AE61" i="172"/>
  <c r="U105" i="172"/>
  <c r="AD4" i="172" s="1"/>
  <c r="Z60" i="172" s="1"/>
  <c r="T7" i="172"/>
  <c r="AC61" i="172"/>
  <c r="AA69" i="172" s="1"/>
  <c r="AC58" i="172"/>
  <c r="AC36" i="172"/>
  <c r="AC35" i="172"/>
  <c r="AE34" i="172"/>
  <c r="V39" i="172"/>
  <c r="V47" i="172"/>
  <c r="V54" i="172"/>
  <c r="V91" i="172"/>
  <c r="I120" i="172"/>
  <c r="K123" i="172"/>
  <c r="K149" i="172" s="1"/>
  <c r="I149" i="172"/>
  <c r="V69" i="172"/>
  <c r="V85" i="172"/>
  <c r="I150" i="172"/>
  <c r="V63" i="172"/>
  <c r="V73" i="172"/>
  <c r="V74" i="172"/>
  <c r="V83" i="172"/>
  <c r="I145" i="172"/>
  <c r="J119" i="172"/>
  <c r="J145" i="172" s="1"/>
  <c r="J118" i="172"/>
  <c r="W2" i="172" l="1"/>
  <c r="W3" i="172" s="1"/>
  <c r="W4" i="172" s="1"/>
  <c r="W5" i="172" s="1"/>
  <c r="W6" i="172" s="1"/>
  <c r="O95" i="172"/>
  <c r="O99" i="172"/>
  <c r="AN74" i="172"/>
  <c r="O96" i="172"/>
  <c r="O101" i="172"/>
  <c r="Z13" i="172"/>
  <c r="Z3" i="172" s="1"/>
  <c r="O44" i="172"/>
  <c r="O94" i="172"/>
  <c r="O62" i="172"/>
  <c r="AA10" i="172"/>
  <c r="AE36" i="172"/>
  <c r="O87" i="172"/>
  <c r="O81" i="172"/>
  <c r="O84" i="172"/>
  <c r="O83" i="172"/>
  <c r="AD37" i="172"/>
  <c r="K148" i="172"/>
  <c r="O38" i="172"/>
  <c r="O97" i="172"/>
  <c r="O98" i="172"/>
  <c r="O103" i="172"/>
  <c r="O75" i="172"/>
  <c r="O100" i="172"/>
  <c r="O49" i="172"/>
  <c r="O58" i="172"/>
  <c r="O77" i="172"/>
  <c r="O89" i="172"/>
  <c r="O78" i="172"/>
  <c r="O64" i="172"/>
  <c r="O43" i="172"/>
  <c r="O73" i="172"/>
  <c r="O63" i="172"/>
  <c r="O67" i="172"/>
  <c r="O69" i="172"/>
  <c r="K147" i="172"/>
  <c r="O79" i="172"/>
  <c r="O66" i="172"/>
  <c r="O59" i="172"/>
  <c r="O86" i="172"/>
  <c r="O60" i="172"/>
  <c r="O65" i="172"/>
  <c r="O76" i="172"/>
  <c r="O68" i="172"/>
  <c r="O70" i="172"/>
  <c r="O57" i="172"/>
  <c r="O72" i="172"/>
  <c r="O71" i="172"/>
  <c r="O61" i="172"/>
  <c r="O80" i="172"/>
  <c r="T105" i="172"/>
  <c r="T107" i="172" s="1"/>
  <c r="K116" i="172"/>
  <c r="K142" i="172" s="1"/>
  <c r="K119" i="172"/>
  <c r="K145" i="172" s="1"/>
  <c r="V7" i="172"/>
  <c r="V105" i="172" s="1"/>
  <c r="K117" i="172"/>
  <c r="K143" i="172" s="1"/>
  <c r="I146" i="172"/>
  <c r="J120" i="172"/>
  <c r="J146" i="172" s="1"/>
  <c r="AA68" i="172"/>
  <c r="O50" i="172"/>
  <c r="O45" i="172"/>
  <c r="O56" i="172"/>
  <c r="O53" i="172"/>
  <c r="O42" i="172"/>
  <c r="O39" i="172"/>
  <c r="O34" i="172"/>
  <c r="O32" i="172"/>
  <c r="O54" i="172"/>
  <c r="O30" i="172"/>
  <c r="I141" i="172"/>
  <c r="K115" i="172"/>
  <c r="K141" i="172" s="1"/>
  <c r="K118" i="172"/>
  <c r="K144" i="172" s="1"/>
  <c r="J144" i="172"/>
  <c r="O46" i="172"/>
  <c r="O35" i="172"/>
  <c r="O55" i="172"/>
  <c r="O41" i="172"/>
  <c r="AT10" i="172"/>
  <c r="AU10" i="172" s="1"/>
  <c r="K105" i="172"/>
  <c r="K107" i="172" s="1"/>
  <c r="O33" i="172"/>
  <c r="AA35" i="172"/>
  <c r="AF10" i="172"/>
  <c r="AD28" i="172"/>
  <c r="O31" i="172"/>
  <c r="AC37" i="172"/>
  <c r="AE35" i="172"/>
  <c r="O36" i="172"/>
  <c r="O88" i="172"/>
  <c r="O91" i="172"/>
  <c r="O90" i="172"/>
  <c r="O93" i="172"/>
  <c r="O85" i="172"/>
  <c r="O47" i="172"/>
  <c r="AC42" i="172"/>
  <c r="O7" i="172"/>
  <c r="W7" i="172" l="1"/>
  <c r="W8" i="172" s="1"/>
  <c r="W9" i="172" s="1"/>
  <c r="W10" i="172" s="1"/>
  <c r="W11" i="172" s="1"/>
  <c r="W12" i="172" s="1"/>
  <c r="W13" i="172" s="1"/>
  <c r="W14" i="172" s="1"/>
  <c r="W15" i="172" s="1"/>
  <c r="W16" i="172" s="1"/>
  <c r="W17" i="172" s="1"/>
  <c r="W18" i="172" s="1"/>
  <c r="W19" i="172" s="1"/>
  <c r="W20" i="172" s="1"/>
  <c r="W21" i="172" s="1"/>
  <c r="W22" i="172" s="1"/>
  <c r="Z4" i="172"/>
  <c r="Z5" i="172" s="1"/>
  <c r="J152" i="172"/>
  <c r="AA4" i="172"/>
  <c r="L2" i="172" s="1"/>
  <c r="L3" i="172" s="1"/>
  <c r="L4" i="172" s="1"/>
  <c r="L5" i="172" s="1"/>
  <c r="L6" i="172" s="1"/>
  <c r="L7" i="172" s="1"/>
  <c r="L8" i="172" s="1"/>
  <c r="L9" i="172" s="1"/>
  <c r="L10" i="172" s="1"/>
  <c r="L11" i="172" s="1"/>
  <c r="L12" i="172" s="1"/>
  <c r="L13" i="172" s="1"/>
  <c r="L14" i="172" s="1"/>
  <c r="L15" i="172" s="1"/>
  <c r="L16" i="172" s="1"/>
  <c r="L17" i="172" s="1"/>
  <c r="L18" i="172" s="1"/>
  <c r="L19" i="172" s="1"/>
  <c r="L20" i="172" s="1"/>
  <c r="L21" i="172" s="1"/>
  <c r="L22" i="172" s="1"/>
  <c r="L23" i="172" s="1"/>
  <c r="L24" i="172" s="1"/>
  <c r="L25" i="172" s="1"/>
  <c r="L26" i="172" s="1"/>
  <c r="L27" i="172" s="1"/>
  <c r="L28" i="172" s="1"/>
  <c r="L29" i="172" s="1"/>
  <c r="L30" i="172" s="1"/>
  <c r="L31" i="172" s="1"/>
  <c r="L32" i="172" s="1"/>
  <c r="L33" i="172" s="1"/>
  <c r="L34" i="172" s="1"/>
  <c r="L35" i="172" s="1"/>
  <c r="L36" i="172" s="1"/>
  <c r="L37" i="172" s="1"/>
  <c r="AA3" i="172"/>
  <c r="AE37" i="172"/>
  <c r="AB4" i="172"/>
  <c r="Z58" i="172" s="1"/>
  <c r="I152" i="172"/>
  <c r="K120" i="172"/>
  <c r="K146" i="172" s="1"/>
  <c r="K152" i="172" s="1"/>
  <c r="O29" i="172"/>
  <c r="O28" i="172"/>
  <c r="O26" i="172"/>
  <c r="O10" i="172"/>
  <c r="N105" i="172"/>
  <c r="O16" i="172"/>
  <c r="O8" i="172"/>
  <c r="O6" i="172"/>
  <c r="O5" i="172"/>
  <c r="O15" i="172"/>
  <c r="O3" i="172"/>
  <c r="O14" i="172"/>
  <c r="O4" i="172"/>
  <c r="O17" i="172"/>
  <c r="O9" i="172"/>
  <c r="O20" i="172"/>
  <c r="O11" i="172"/>
  <c r="O12" i="172"/>
  <c r="O19" i="172"/>
  <c r="O27" i="172"/>
  <c r="O22" i="172"/>
  <c r="O13" i="172"/>
  <c r="O2" i="172"/>
  <c r="O24" i="172"/>
  <c r="O25" i="172"/>
  <c r="S107" i="172"/>
  <c r="AC4" i="172"/>
  <c r="AB35" i="172"/>
  <c r="AB80" i="172"/>
  <c r="Z53" i="172"/>
  <c r="L38" i="172" l="1"/>
  <c r="L39" i="172" s="1"/>
  <c r="L40" i="172" s="1"/>
  <c r="L41" i="172" s="1"/>
  <c r="L42" i="172" s="1"/>
  <c r="L43" i="172" s="1"/>
  <c r="L44" i="172" s="1"/>
  <c r="L45" i="172" s="1"/>
  <c r="W24" i="172"/>
  <c r="W25" i="172" s="1"/>
  <c r="W26" i="172" s="1"/>
  <c r="W27" i="172" s="1"/>
  <c r="W28" i="172" s="1"/>
  <c r="W29" i="172" s="1"/>
  <c r="W30" i="172" s="1"/>
  <c r="W31" i="172" s="1"/>
  <c r="W32" i="172" s="1"/>
  <c r="W33" i="172" s="1"/>
  <c r="W34" i="172" s="1"/>
  <c r="W35" i="172" s="1"/>
  <c r="W36" i="172" s="1"/>
  <c r="W37" i="172" s="1"/>
  <c r="W38" i="172" s="1"/>
  <c r="W39" i="172" s="1"/>
  <c r="W40" i="172" s="1"/>
  <c r="W41" i="172" s="1"/>
  <c r="W42" i="172" s="1"/>
  <c r="W43" i="172" s="1"/>
  <c r="W44" i="172" s="1"/>
  <c r="W45" i="172" s="1"/>
  <c r="W46" i="172" s="1"/>
  <c r="W47" i="172" s="1"/>
  <c r="W48" i="172" s="1"/>
  <c r="W49" i="172" s="1"/>
  <c r="W50" i="172" s="1"/>
  <c r="W51" i="172" s="1"/>
  <c r="W52" i="172" s="1"/>
  <c r="W53" i="172" s="1"/>
  <c r="W54" i="172" s="1"/>
  <c r="W55" i="172" s="1"/>
  <c r="W56" i="172" s="1"/>
  <c r="W57" i="172" s="1"/>
  <c r="W58" i="172" s="1"/>
  <c r="W59" i="172" s="1"/>
  <c r="W23" i="172"/>
  <c r="AA60" i="172"/>
  <c r="X2" i="172"/>
  <c r="X3" i="172"/>
  <c r="AG3" i="172"/>
  <c r="AA5" i="172"/>
  <c r="AB5" i="172"/>
  <c r="X4" i="172"/>
  <c r="Z59" i="172"/>
  <c r="AC5" i="172"/>
  <c r="AG4" i="172"/>
  <c r="AD58" i="172"/>
  <c r="AE78" i="172" s="1"/>
  <c r="AB78" i="172"/>
  <c r="AE4" i="172"/>
  <c r="AF4" i="172" s="1"/>
  <c r="L46" i="172" l="1"/>
  <c r="L47" i="172" s="1"/>
  <c r="L48" i="172" s="1"/>
  <c r="L49" i="172" s="1"/>
  <c r="AG5" i="172"/>
  <c r="AE3" i="172"/>
  <c r="AF3" i="172" s="1"/>
  <c r="AF5" i="172" s="1"/>
  <c r="AA36" i="172"/>
  <c r="AD5" i="172"/>
  <c r="AA34" i="172" s="1"/>
  <c r="AB34" i="172" s="1"/>
  <c r="AF11" i="172"/>
  <c r="AF9" i="172" s="1"/>
  <c r="AD78" i="172"/>
  <c r="AN75" i="172"/>
  <c r="AN76" i="172" s="1"/>
  <c r="AB79" i="172"/>
  <c r="AD79" i="172" s="1"/>
  <c r="AK76" i="172" s="1"/>
  <c r="AL76" i="172" s="1"/>
  <c r="AD59" i="172"/>
  <c r="Z62" i="172"/>
  <c r="Z61" i="172"/>
  <c r="X5" i="172"/>
  <c r="L50" i="172" l="1"/>
  <c r="L51" i="172" s="1"/>
  <c r="L52" i="172" s="1"/>
  <c r="AE5" i="172"/>
  <c r="AB47" i="172"/>
  <c r="AD60" i="172"/>
  <c r="AE80" i="172" s="1"/>
  <c r="AA62" i="172"/>
  <c r="AC80" i="172"/>
  <c r="AA61" i="172"/>
  <c r="AE70" i="172" s="1"/>
  <c r="AB36" i="172"/>
  <c r="AA37" i="172"/>
  <c r="AB37" i="172" s="1"/>
  <c r="AE79" i="172"/>
  <c r="AF79" i="172" s="1"/>
  <c r="AJ59" i="172"/>
  <c r="X6" i="172"/>
  <c r="AF78" i="172"/>
  <c r="Z70" i="172"/>
  <c r="AB17" i="172"/>
  <c r="AB81" i="172"/>
  <c r="AK75" i="172"/>
  <c r="L53" i="172" l="1"/>
  <c r="L54" i="172" s="1"/>
  <c r="L55" i="172" s="1"/>
  <c r="L56" i="172" s="1"/>
  <c r="L57" i="172" s="1"/>
  <c r="L58" i="172" s="1"/>
  <c r="L59" i="172" s="1"/>
  <c r="L60" i="172" s="1"/>
  <c r="L61" i="172" s="1"/>
  <c r="L62" i="172" s="1"/>
  <c r="L63" i="172" s="1"/>
  <c r="L64" i="172" s="1"/>
  <c r="L65" i="172" s="1"/>
  <c r="L66" i="172" s="1"/>
  <c r="L67" i="172" s="1"/>
  <c r="L68" i="172" s="1"/>
  <c r="L69" i="172" s="1"/>
  <c r="L70" i="172" s="1"/>
  <c r="L71" i="172" s="1"/>
  <c r="L72" i="172" s="1"/>
  <c r="L73" i="172" s="1"/>
  <c r="L74" i="172" s="1"/>
  <c r="L75" i="172" s="1"/>
  <c r="L76" i="172" s="1"/>
  <c r="L77" i="172" s="1"/>
  <c r="L78" i="172" s="1"/>
  <c r="L79" i="172" s="1"/>
  <c r="L80" i="172" s="1"/>
  <c r="L81" i="172" s="1"/>
  <c r="L82" i="172" s="1"/>
  <c r="L83" i="172" s="1"/>
  <c r="L84" i="172" s="1"/>
  <c r="L85" i="172" s="1"/>
  <c r="L86" i="172" s="1"/>
  <c r="L87" i="172" s="1"/>
  <c r="L88" i="172" s="1"/>
  <c r="L89" i="172" s="1"/>
  <c r="L90" i="172" s="1"/>
  <c r="L91" i="172" s="1"/>
  <c r="L92" i="172" s="1"/>
  <c r="L93" i="172" s="1"/>
  <c r="L94" i="172" s="1"/>
  <c r="L95" i="172" s="1"/>
  <c r="L96" i="172" s="1"/>
  <c r="L97" i="172" s="1"/>
  <c r="L98" i="172" s="1"/>
  <c r="L99" i="172" s="1"/>
  <c r="L100" i="172" s="1"/>
  <c r="L101" i="172" s="1"/>
  <c r="L102" i="172" s="1"/>
  <c r="L103" i="172" s="1"/>
  <c r="L105" i="172" s="1"/>
  <c r="AD61" i="172"/>
  <c r="AD62" i="172"/>
  <c r="AC81" i="172"/>
  <c r="AD80" i="172"/>
  <c r="AE81" i="172"/>
  <c r="X7" i="172"/>
  <c r="AL75" i="172"/>
  <c r="AK77" i="172" l="1"/>
  <c r="AD81" i="172"/>
  <c r="AF80" i="172"/>
  <c r="AF81" i="172" s="1"/>
  <c r="X8" i="172"/>
  <c r="AL77" i="172" l="1"/>
  <c r="AL78" i="172" s="1"/>
  <c r="AK78" i="172"/>
  <c r="AL79" i="172" s="1"/>
  <c r="X9" i="172"/>
  <c r="X10" i="172" l="1"/>
  <c r="X11" i="172" l="1"/>
  <c r="X12" i="172" l="1"/>
  <c r="X13" i="172" l="1"/>
  <c r="X14" i="172" l="1"/>
  <c r="X15" i="172" l="1"/>
  <c r="X16" i="172" l="1"/>
  <c r="X17" i="172" l="1"/>
  <c r="X19" i="172" l="1"/>
  <c r="X22" i="172" l="1"/>
  <c r="X24" i="172" l="1"/>
  <c r="X25" i="172" l="1"/>
  <c r="X26" i="172" l="1"/>
  <c r="X27" i="172" l="1"/>
  <c r="X28" i="172" l="1"/>
  <c r="X29" i="172" l="1"/>
  <c r="X30" i="172" l="1"/>
  <c r="X31" i="172" l="1"/>
  <c r="X32" i="172" l="1"/>
  <c r="X33" i="172" l="1"/>
  <c r="X34" i="172" l="1"/>
  <c r="X35" i="172" l="1"/>
  <c r="X36" i="172" l="1"/>
  <c r="X37" i="172" l="1"/>
  <c r="X38" i="172" l="1"/>
  <c r="X39" i="172" l="1"/>
  <c r="X41" i="172" l="1"/>
  <c r="X42" i="172" l="1"/>
  <c r="X43" i="172" l="1"/>
  <c r="X44" i="172" l="1"/>
  <c r="X45" i="172" l="1"/>
  <c r="X46" i="172" l="1"/>
  <c r="X47" i="172" l="1"/>
  <c r="X49" i="172" l="1"/>
  <c r="X50" i="172" l="1"/>
  <c r="X53" i="172" l="1"/>
  <c r="X54" i="172" l="1"/>
  <c r="X55" i="172" l="1"/>
  <c r="X56" i="172" l="1"/>
  <c r="W60" i="172"/>
  <c r="W61" i="172" s="1"/>
  <c r="W62" i="172" s="1"/>
  <c r="W63" i="172" s="1"/>
  <c r="W64" i="172" s="1"/>
  <c r="W65" i="172" s="1"/>
  <c r="W66" i="172" s="1"/>
  <c r="W67" i="172" s="1"/>
  <c r="W68" i="172" s="1"/>
  <c r="W69" i="172" s="1"/>
  <c r="W70" i="172" s="1"/>
  <c r="W71" i="172" s="1"/>
  <c r="W72" i="172" s="1"/>
  <c r="W73" i="172" s="1"/>
  <c r="W74" i="172" s="1"/>
  <c r="W75" i="172" s="1"/>
  <c r="W76" i="172" s="1"/>
  <c r="W77" i="172" s="1"/>
  <c r="W78" i="172" s="1"/>
  <c r="W79" i="172" s="1"/>
  <c r="W80" i="172" s="1"/>
  <c r="W81" i="172" s="1"/>
  <c r="W82" i="172" s="1"/>
  <c r="W83" i="172" s="1"/>
  <c r="W84" i="172" s="1"/>
  <c r="W85" i="172" s="1"/>
  <c r="W86" i="172" s="1"/>
  <c r="W87" i="172" s="1"/>
  <c r="W88" i="172" s="1"/>
  <c r="W89" i="172" s="1"/>
  <c r="W90" i="172" s="1"/>
  <c r="W91" i="172" s="1"/>
  <c r="W92" i="172" s="1"/>
  <c r="W93" i="172" s="1"/>
  <c r="W94" i="172" s="1"/>
  <c r="W95" i="172" s="1"/>
  <c r="W96" i="172" s="1"/>
  <c r="W97" i="172" s="1"/>
  <c r="W98" i="172" s="1"/>
  <c r="W99" i="172" s="1"/>
  <c r="W100" i="172" s="1"/>
  <c r="W101" i="172" s="1"/>
  <c r="W102" i="172" s="1"/>
  <c r="W103" i="172" s="1"/>
  <c r="W105" i="172" s="1"/>
  <c r="Q17" i="110" l="1"/>
  <c r="Q18" i="110"/>
  <c r="Q33" i="110" s="1"/>
  <c r="Q19" i="110"/>
  <c r="R19" i="110" s="1"/>
  <c r="Q20" i="110"/>
  <c r="R20" i="110" s="1"/>
  <c r="Q21" i="110"/>
  <c r="Q22" i="110"/>
  <c r="R22" i="110" s="1"/>
  <c r="Q23" i="110"/>
  <c r="R23" i="110" s="1"/>
  <c r="Q24" i="110"/>
  <c r="R24" i="110" s="1"/>
  <c r="Q25" i="110"/>
  <c r="Q26" i="110"/>
  <c r="Q27" i="110"/>
  <c r="Q28" i="110"/>
  <c r="R28" i="110" s="1"/>
  <c r="Q29" i="110"/>
  <c r="Q30" i="110"/>
  <c r="Q31" i="110"/>
  <c r="Q32" i="110"/>
  <c r="Q16" i="110"/>
  <c r="T13" i="110"/>
  <c r="S13" i="110"/>
  <c r="U14" i="110"/>
  <c r="U13" i="110"/>
  <c r="R17" i="110"/>
  <c r="R21" i="110"/>
  <c r="R25" i="110"/>
  <c r="R27" i="110"/>
  <c r="R29" i="110"/>
  <c r="R31" i="110"/>
  <c r="R32" i="110"/>
  <c r="P33" i="110"/>
  <c r="O33" i="110"/>
  <c r="R16" i="110"/>
  <c r="R18" i="110"/>
  <c r="R26" i="110"/>
  <c r="R30" i="110"/>
  <c r="F17" i="110"/>
  <c r="F18" i="110" s="1"/>
  <c r="F19" i="110" s="1"/>
  <c r="F20" i="110" s="1"/>
  <c r="F21" i="110" s="1"/>
  <c r="F22" i="110" s="1"/>
  <c r="F23" i="110" s="1"/>
  <c r="F24" i="110" s="1"/>
  <c r="F25" i="110" s="1"/>
  <c r="F26" i="110" s="1"/>
  <c r="F16" i="110"/>
  <c r="E16" i="110"/>
  <c r="E17" i="110" s="1"/>
  <c r="E18" i="110" s="1"/>
  <c r="E19" i="110" s="1"/>
  <c r="E20" i="110" s="1"/>
  <c r="E21" i="110" s="1"/>
  <c r="E22" i="110" s="1"/>
  <c r="E23" i="110" s="1"/>
  <c r="E24" i="110" s="1"/>
  <c r="E25" i="110" s="1"/>
  <c r="E26" i="110" s="1"/>
  <c r="G11" i="110"/>
  <c r="G12" i="110" s="1"/>
  <c r="G13" i="110" s="1"/>
  <c r="G14" i="110" s="1"/>
  <c r="G15" i="110" s="1"/>
  <c r="G16" i="110" s="1"/>
  <c r="G17" i="110" s="1"/>
  <c r="G18" i="110" s="1"/>
  <c r="G19" i="110" s="1"/>
  <c r="G20" i="110" s="1"/>
  <c r="G21" i="110" s="1"/>
  <c r="G22" i="110" s="1"/>
  <c r="G23" i="110" s="1"/>
  <c r="G24" i="110" s="1"/>
  <c r="G25" i="110" s="1"/>
  <c r="G26" i="110" s="1"/>
  <c r="G27" i="110" s="1"/>
  <c r="G28" i="110" s="1"/>
  <c r="G29" i="110" s="1"/>
  <c r="G30" i="110" s="1"/>
  <c r="G31" i="110" s="1"/>
  <c r="G32" i="110" s="1"/>
  <c r="E11" i="110"/>
  <c r="E12" i="110" s="1"/>
  <c r="E13" i="110" s="1"/>
  <c r="E14" i="110" s="1"/>
  <c r="E27" i="110" s="1"/>
  <c r="E28" i="110" s="1"/>
  <c r="E29" i="110" s="1"/>
  <c r="E30" i="110" s="1"/>
  <c r="E31" i="110" s="1"/>
  <c r="E32" i="110" s="1"/>
  <c r="D11" i="110"/>
  <c r="D12" i="110" s="1"/>
  <c r="G10" i="110"/>
  <c r="F10" i="110"/>
  <c r="F11" i="110" s="1"/>
  <c r="F12" i="110" s="1"/>
  <c r="F13" i="110" s="1"/>
  <c r="F14" i="110" s="1"/>
  <c r="F27" i="110" s="1"/>
  <c r="F28" i="110" s="1"/>
  <c r="F29" i="110" s="1"/>
  <c r="F30" i="110" s="1"/>
  <c r="F31" i="110" s="1"/>
  <c r="F32" i="110" s="1"/>
  <c r="E10" i="110"/>
  <c r="D10" i="110"/>
  <c r="J9" i="110"/>
  <c r="H9" i="110"/>
  <c r="E33" i="110" l="1"/>
  <c r="G33" i="110"/>
  <c r="H12" i="110"/>
  <c r="J12" i="110" s="1"/>
  <c r="D13" i="110"/>
  <c r="H11" i="110"/>
  <c r="J11" i="110" s="1"/>
  <c r="F33" i="110"/>
  <c r="H10" i="110"/>
  <c r="J10" i="110" s="1"/>
  <c r="D14" i="110" l="1"/>
  <c r="H13" i="110"/>
  <c r="J13" i="110" s="1"/>
  <c r="H14" i="110" l="1"/>
  <c r="J14" i="110" s="1"/>
  <c r="D15" i="110"/>
  <c r="F17" i="108"/>
  <c r="F18" i="108" s="1"/>
  <c r="F19" i="108" s="1"/>
  <c r="F20" i="108" s="1"/>
  <c r="F21" i="108" s="1"/>
  <c r="F22" i="108" s="1"/>
  <c r="F23" i="108" s="1"/>
  <c r="F24" i="108" s="1"/>
  <c r="F25" i="108" s="1"/>
  <c r="F26" i="108" s="1"/>
  <c r="F16" i="108"/>
  <c r="E16" i="108"/>
  <c r="E17" i="108" s="1"/>
  <c r="E18" i="108" s="1"/>
  <c r="E19" i="108" s="1"/>
  <c r="E20" i="108" s="1"/>
  <c r="E21" i="108" s="1"/>
  <c r="E22" i="108" s="1"/>
  <c r="E23" i="108" s="1"/>
  <c r="E24" i="108" s="1"/>
  <c r="E25" i="108" s="1"/>
  <c r="E26" i="108" s="1"/>
  <c r="F11" i="108"/>
  <c r="G10" i="108"/>
  <c r="F10" i="108"/>
  <c r="E10" i="108"/>
  <c r="D10" i="108"/>
  <c r="H9" i="108"/>
  <c r="J9" i="108" s="1"/>
  <c r="M8" i="110" l="1"/>
  <c r="H15" i="110"/>
  <c r="D16" i="110"/>
  <c r="G11" i="108"/>
  <c r="G12" i="108" s="1"/>
  <c r="G13" i="108" s="1"/>
  <c r="G14" i="108" s="1"/>
  <c r="G15" i="108" s="1"/>
  <c r="G16" i="108" s="1"/>
  <c r="G17" i="108" s="1"/>
  <c r="G18" i="108" s="1"/>
  <c r="G19" i="108" s="1"/>
  <c r="G20" i="108" s="1"/>
  <c r="G21" i="108" s="1"/>
  <c r="G22" i="108" s="1"/>
  <c r="G23" i="108" s="1"/>
  <c r="G24" i="108" s="1"/>
  <c r="G25" i="108" s="1"/>
  <c r="G26" i="108" s="1"/>
  <c r="G27" i="108" s="1"/>
  <c r="G28" i="108" s="1"/>
  <c r="G29" i="108" s="1"/>
  <c r="G30" i="108" s="1"/>
  <c r="G31" i="108" s="1"/>
  <c r="G32" i="108" s="1"/>
  <c r="F12" i="108"/>
  <c r="F13" i="108" s="1"/>
  <c r="F14" i="108" s="1"/>
  <c r="F27" i="108" s="1"/>
  <c r="F28" i="108" s="1"/>
  <c r="F29" i="108" s="1"/>
  <c r="F30" i="108" s="1"/>
  <c r="F31" i="108" s="1"/>
  <c r="F32" i="108" s="1"/>
  <c r="H10" i="108"/>
  <c r="J10" i="108" s="1"/>
  <c r="D11" i="108"/>
  <c r="E11" i="108"/>
  <c r="E12" i="108" s="1"/>
  <c r="E13" i="108" s="1"/>
  <c r="E14" i="108" s="1"/>
  <c r="E27" i="108" s="1"/>
  <c r="E28" i="108" s="1"/>
  <c r="E29" i="108" s="1"/>
  <c r="E30" i="108" s="1"/>
  <c r="E31" i="108" s="1"/>
  <c r="E32" i="108" s="1"/>
  <c r="J15" i="110" l="1"/>
  <c r="D17" i="110"/>
  <c r="H16" i="110"/>
  <c r="J16" i="110" s="1"/>
  <c r="L8" i="110"/>
  <c r="L9" i="110" s="1"/>
  <c r="K8" i="110"/>
  <c r="F33" i="108"/>
  <c r="D12" i="108"/>
  <c r="H11" i="108"/>
  <c r="J11" i="108" s="1"/>
  <c r="E33" i="108"/>
  <c r="G33" i="108"/>
  <c r="S14" i="110" l="1"/>
  <c r="S15" i="110" s="1"/>
  <c r="K9" i="110"/>
  <c r="L10" i="110"/>
  <c r="L11" i="110" s="1"/>
  <c r="L12" i="110" s="1"/>
  <c r="L13" i="110" s="1"/>
  <c r="L14" i="110" s="1"/>
  <c r="H17" i="110"/>
  <c r="J17" i="110" s="1"/>
  <c r="D18" i="110"/>
  <c r="H12" i="108"/>
  <c r="J12" i="108" s="1"/>
  <c r="D13" i="108"/>
  <c r="L15" i="110" l="1"/>
  <c r="T14" i="110"/>
  <c r="T15" i="110" s="1"/>
  <c r="K10" i="110"/>
  <c r="M9" i="110"/>
  <c r="N9" i="110" s="1"/>
  <c r="D19" i="110"/>
  <c r="H18" i="110"/>
  <c r="J18" i="110" s="1"/>
  <c r="D14" i="108"/>
  <c r="H13" i="108"/>
  <c r="J13" i="108" s="1"/>
  <c r="L16" i="110" l="1"/>
  <c r="L17" i="110" s="1"/>
  <c r="L18" i="110" s="1"/>
  <c r="L19" i="110" s="1"/>
  <c r="L20" i="110" s="1"/>
  <c r="L21" i="110" s="1"/>
  <c r="L22" i="110" s="1"/>
  <c r="L23" i="110" s="1"/>
  <c r="L24" i="110" s="1"/>
  <c r="L25" i="110" s="1"/>
  <c r="L26" i="110" s="1"/>
  <c r="L27" i="110" s="1"/>
  <c r="L28" i="110" s="1"/>
  <c r="L29" i="110" s="1"/>
  <c r="L30" i="110" s="1"/>
  <c r="L31" i="110" s="1"/>
  <c r="L32" i="110" s="1"/>
  <c r="K11" i="110"/>
  <c r="M10" i="110"/>
  <c r="N10" i="110"/>
  <c r="H19" i="110"/>
  <c r="J19" i="110" s="1"/>
  <c r="D20" i="110"/>
  <c r="D15" i="108"/>
  <c r="H14" i="108"/>
  <c r="J14" i="108" s="1"/>
  <c r="K12" i="110" l="1"/>
  <c r="M11" i="110"/>
  <c r="N11" i="110" s="1"/>
  <c r="L33" i="110"/>
  <c r="L34" i="110" s="1"/>
  <c r="D21" i="110"/>
  <c r="H20" i="110"/>
  <c r="J20" i="110" s="1"/>
  <c r="D16" i="108"/>
  <c r="H15" i="108"/>
  <c r="J15" i="108" s="1"/>
  <c r="K13" i="110" l="1"/>
  <c r="M12" i="110"/>
  <c r="N12" i="110" s="1"/>
  <c r="H21" i="110"/>
  <c r="J21" i="110" s="1"/>
  <c r="D22" i="110"/>
  <c r="D17" i="108"/>
  <c r="H16" i="108"/>
  <c r="J16" i="108" s="1"/>
  <c r="K14" i="110" l="1"/>
  <c r="M13" i="110"/>
  <c r="N13" i="110" s="1"/>
  <c r="D23" i="110"/>
  <c r="H22" i="110"/>
  <c r="J22" i="110" s="1"/>
  <c r="D18" i="108"/>
  <c r="H17" i="108"/>
  <c r="J17" i="108" s="1"/>
  <c r="K15" i="110" l="1"/>
  <c r="M14" i="110"/>
  <c r="N14" i="110"/>
  <c r="H23" i="110"/>
  <c r="J23" i="110" s="1"/>
  <c r="D24" i="110"/>
  <c r="H18" i="108"/>
  <c r="J18" i="108" s="1"/>
  <c r="D19" i="108"/>
  <c r="K16" i="110" l="1"/>
  <c r="M15" i="110"/>
  <c r="N15" i="110" s="1"/>
  <c r="D25" i="110"/>
  <c r="H24" i="110"/>
  <c r="J24" i="110" s="1"/>
  <c r="D20" i="108"/>
  <c r="H19" i="108"/>
  <c r="J19" i="108" s="1"/>
  <c r="K17" i="110" l="1"/>
  <c r="M16" i="110"/>
  <c r="N16" i="110"/>
  <c r="H25" i="110"/>
  <c r="J25" i="110" s="1"/>
  <c r="D26" i="110"/>
  <c r="D21" i="108"/>
  <c r="H20" i="108"/>
  <c r="J20" i="108" s="1"/>
  <c r="K18" i="110" l="1"/>
  <c r="M17" i="110"/>
  <c r="N17" i="110" s="1"/>
  <c r="D27" i="110"/>
  <c r="H26" i="110"/>
  <c r="J26" i="110" s="1"/>
  <c r="D22" i="108"/>
  <c r="H21" i="108"/>
  <c r="J21" i="108" s="1"/>
  <c r="K19" i="110" l="1"/>
  <c r="M18" i="110"/>
  <c r="N18" i="110" s="1"/>
  <c r="H27" i="110"/>
  <c r="J27" i="110" s="1"/>
  <c r="D28" i="110"/>
  <c r="H22" i="108"/>
  <c r="J22" i="108" s="1"/>
  <c r="D23" i="108"/>
  <c r="K20" i="110" l="1"/>
  <c r="M19" i="110"/>
  <c r="N19" i="110"/>
  <c r="D29" i="110"/>
  <c r="H28" i="110"/>
  <c r="J28" i="110" s="1"/>
  <c r="H23" i="108"/>
  <c r="J23" i="108" s="1"/>
  <c r="D24" i="108"/>
  <c r="K21" i="110" l="1"/>
  <c r="M20" i="110"/>
  <c r="N20" i="110" s="1"/>
  <c r="H29" i="110"/>
  <c r="J29" i="110" s="1"/>
  <c r="D30" i="110"/>
  <c r="D25" i="108"/>
  <c r="H24" i="108"/>
  <c r="J24" i="108" s="1"/>
  <c r="K22" i="110" l="1"/>
  <c r="M21" i="110"/>
  <c r="N21" i="110" s="1"/>
  <c r="D31" i="110"/>
  <c r="H30" i="110"/>
  <c r="J30" i="110" s="1"/>
  <c r="D26" i="108"/>
  <c r="H25" i="108"/>
  <c r="J25" i="108" s="1"/>
  <c r="K23" i="110" l="1"/>
  <c r="M22" i="110"/>
  <c r="N22" i="110" s="1"/>
  <c r="H31" i="110"/>
  <c r="J31" i="110" s="1"/>
  <c r="D32" i="110"/>
  <c r="D27" i="108"/>
  <c r="H26" i="108"/>
  <c r="J26" i="108" s="1"/>
  <c r="K24" i="110" l="1"/>
  <c r="M23" i="110"/>
  <c r="N23" i="110" s="1"/>
  <c r="H32" i="110"/>
  <c r="D33" i="110"/>
  <c r="D28" i="108"/>
  <c r="H27" i="108"/>
  <c r="J27" i="108" s="1"/>
  <c r="K25" i="110" l="1"/>
  <c r="M24" i="110"/>
  <c r="N24" i="110" s="1"/>
  <c r="J32" i="110"/>
  <c r="H33" i="110"/>
  <c r="D29" i="108"/>
  <c r="H28" i="108"/>
  <c r="J28" i="108" s="1"/>
  <c r="K26" i="110" l="1"/>
  <c r="M25" i="110"/>
  <c r="N25" i="110" s="1"/>
  <c r="J33" i="110"/>
  <c r="D30" i="108"/>
  <c r="H29" i="108"/>
  <c r="J29" i="108" s="1"/>
  <c r="K8" i="108"/>
  <c r="K9" i="108" s="1"/>
  <c r="L8" i="108"/>
  <c r="L9" i="108" s="1"/>
  <c r="K27" i="110" l="1"/>
  <c r="M26" i="110"/>
  <c r="N26" i="110" s="1"/>
  <c r="M8" i="108"/>
  <c r="L10" i="108"/>
  <c r="L11" i="108" s="1"/>
  <c r="L12" i="108" s="1"/>
  <c r="L13" i="108" s="1"/>
  <c r="L14" i="108" s="1"/>
  <c r="L15" i="108" s="1"/>
  <c r="L16" i="108" s="1"/>
  <c r="L17" i="108" s="1"/>
  <c r="L18" i="108" s="1"/>
  <c r="L19" i="108" s="1"/>
  <c r="L20" i="108" s="1"/>
  <c r="L21" i="108" s="1"/>
  <c r="L22" i="108" s="1"/>
  <c r="L23" i="108" s="1"/>
  <c r="L24" i="108" s="1"/>
  <c r="L25" i="108" s="1"/>
  <c r="L26" i="108" s="1"/>
  <c r="L27" i="108" s="1"/>
  <c r="L28" i="108" s="1"/>
  <c r="L29" i="108" s="1"/>
  <c r="L30" i="108" s="1"/>
  <c r="L31" i="108" s="1"/>
  <c r="L32" i="108" s="1"/>
  <c r="L33" i="108"/>
  <c r="L34" i="108" s="1"/>
  <c r="M9" i="108"/>
  <c r="N9" i="108" s="1"/>
  <c r="K10" i="108"/>
  <c r="D31" i="108"/>
  <c r="H30" i="108"/>
  <c r="J30" i="108" s="1"/>
  <c r="K28" i="110" l="1"/>
  <c r="M27" i="110"/>
  <c r="N27" i="110" s="1"/>
  <c r="K11" i="108"/>
  <c r="M10" i="108"/>
  <c r="N10" i="108" s="1"/>
  <c r="D32" i="108"/>
  <c r="H31" i="108"/>
  <c r="J31" i="108" s="1"/>
  <c r="K29" i="110" l="1"/>
  <c r="M28" i="110"/>
  <c r="N28" i="110" s="1"/>
  <c r="K12" i="108"/>
  <c r="M11" i="108"/>
  <c r="N11" i="108" s="1"/>
  <c r="H32" i="108"/>
  <c r="D33" i="108"/>
  <c r="K30" i="110" l="1"/>
  <c r="M29" i="110"/>
  <c r="N29" i="110" s="1"/>
  <c r="K13" i="108"/>
  <c r="M12" i="108"/>
  <c r="N12" i="108" s="1"/>
  <c r="H33" i="108"/>
  <c r="J32" i="108"/>
  <c r="K31" i="110" l="1"/>
  <c r="M30" i="110"/>
  <c r="N30" i="110" s="1"/>
  <c r="K14" i="108"/>
  <c r="M13" i="108"/>
  <c r="N13" i="108" s="1"/>
  <c r="J33" i="108"/>
  <c r="K32" i="110" l="1"/>
  <c r="M31" i="110"/>
  <c r="N31" i="110" s="1"/>
  <c r="K15" i="108"/>
  <c r="M14" i="108"/>
  <c r="N14" i="108" s="1"/>
  <c r="K33" i="110" l="1"/>
  <c r="K34" i="110" s="1"/>
  <c r="M32" i="110"/>
  <c r="M33" i="110" s="1"/>
  <c r="M34" i="110" s="1"/>
  <c r="K16" i="108"/>
  <c r="M15" i="108"/>
  <c r="N15" i="108" s="1"/>
  <c r="N32" i="110" l="1"/>
  <c r="N33" i="110" s="1"/>
  <c r="K17" i="108"/>
  <c r="M16" i="108"/>
  <c r="N16" i="108" s="1"/>
  <c r="K18" i="108" l="1"/>
  <c r="M17" i="108"/>
  <c r="N17" i="108" s="1"/>
  <c r="K19" i="108" l="1"/>
  <c r="M18" i="108"/>
  <c r="N18" i="108" s="1"/>
  <c r="K20" i="108" l="1"/>
  <c r="M19" i="108"/>
  <c r="N19" i="108" s="1"/>
  <c r="K21" i="108" l="1"/>
  <c r="M20" i="108"/>
  <c r="N20" i="108" s="1"/>
  <c r="K22" i="108" l="1"/>
  <c r="M21" i="108"/>
  <c r="N21" i="108" s="1"/>
  <c r="K23" i="108" l="1"/>
  <c r="M22" i="108"/>
  <c r="N22" i="108" s="1"/>
  <c r="K24" i="108" l="1"/>
  <c r="M23" i="108"/>
  <c r="N23" i="108" s="1"/>
  <c r="K25" i="108" l="1"/>
  <c r="M24" i="108"/>
  <c r="N24" i="108" s="1"/>
  <c r="K26" i="108" l="1"/>
  <c r="M25" i="108"/>
  <c r="N25" i="108" s="1"/>
  <c r="K27" i="108" l="1"/>
  <c r="M26" i="108"/>
  <c r="N26" i="108" s="1"/>
  <c r="K28" i="108" l="1"/>
  <c r="M27" i="108"/>
  <c r="N27" i="108" s="1"/>
  <c r="K29" i="108" l="1"/>
  <c r="M28" i="108"/>
  <c r="N28" i="108" s="1"/>
  <c r="K30" i="108" l="1"/>
  <c r="M29" i="108"/>
  <c r="N29" i="108" s="1"/>
  <c r="K31" i="108" l="1"/>
  <c r="M30" i="108"/>
  <c r="N30" i="108" s="1"/>
  <c r="K32" i="108" l="1"/>
  <c r="M31" i="108"/>
  <c r="N31" i="108" s="1"/>
  <c r="M32" i="108" l="1"/>
  <c r="M33" i="108" s="1"/>
  <c r="M34" i="108" s="1"/>
  <c r="K33" i="108"/>
  <c r="K34" i="108" s="1"/>
  <c r="N32" i="108" l="1"/>
  <c r="N33" i="108" s="1"/>
  <c r="H33" i="93" l="1"/>
  <c r="G33" i="93"/>
  <c r="F33" i="93"/>
  <c r="E33" i="93"/>
  <c r="D33" i="93"/>
  <c r="H32" i="93"/>
  <c r="G32" i="93"/>
  <c r="F32" i="93"/>
  <c r="E32" i="93"/>
  <c r="D32" i="93"/>
  <c r="H31" i="93"/>
  <c r="G31" i="93"/>
  <c r="F31" i="93"/>
  <c r="E31" i="93"/>
  <c r="D31" i="93"/>
  <c r="H30" i="93"/>
  <c r="G30" i="93"/>
  <c r="F30" i="93"/>
  <c r="E30" i="93"/>
  <c r="D30" i="93"/>
  <c r="H29" i="93"/>
  <c r="G29" i="93"/>
  <c r="F29" i="93"/>
  <c r="E29" i="93"/>
  <c r="D29" i="93"/>
  <c r="H28" i="93"/>
  <c r="G28" i="93"/>
  <c r="F28" i="93"/>
  <c r="E28" i="93"/>
  <c r="D28" i="93"/>
  <c r="H27" i="93"/>
  <c r="G27" i="93"/>
  <c r="F27" i="93"/>
  <c r="E27" i="93"/>
  <c r="D27" i="93"/>
  <c r="H26" i="93"/>
  <c r="G26" i="93"/>
  <c r="F26" i="93"/>
  <c r="E26" i="93"/>
  <c r="D26" i="93"/>
  <c r="H25" i="93"/>
  <c r="G25" i="93"/>
  <c r="F25" i="93"/>
  <c r="E25" i="93"/>
  <c r="D25" i="93"/>
  <c r="H24" i="93"/>
  <c r="G24" i="93"/>
  <c r="F24" i="93"/>
  <c r="E24" i="93"/>
  <c r="D24" i="93"/>
  <c r="H23" i="93"/>
  <c r="G23" i="93"/>
  <c r="F23" i="93"/>
  <c r="E23" i="93"/>
  <c r="D23" i="93"/>
  <c r="H22" i="93"/>
  <c r="G22" i="93"/>
  <c r="F22" i="93"/>
  <c r="E22" i="93"/>
  <c r="D22" i="93"/>
  <c r="H21" i="93"/>
  <c r="G21" i="93"/>
  <c r="F21" i="93"/>
  <c r="E21" i="93"/>
  <c r="D21" i="93"/>
  <c r="H20" i="93"/>
  <c r="G20" i="93"/>
  <c r="F20" i="93"/>
  <c r="E20" i="93"/>
  <c r="D20" i="93"/>
  <c r="H19" i="93"/>
  <c r="G19" i="93"/>
  <c r="F19" i="93"/>
  <c r="E19" i="93"/>
  <c r="D19" i="93"/>
  <c r="H18" i="93"/>
  <c r="G18" i="93"/>
  <c r="F18" i="93"/>
  <c r="E18" i="93"/>
  <c r="D18" i="93"/>
  <c r="H17" i="93"/>
  <c r="G17" i="93"/>
  <c r="F17" i="93"/>
  <c r="E17" i="93"/>
  <c r="D17" i="93"/>
  <c r="H16" i="93"/>
  <c r="G16" i="93"/>
  <c r="F16" i="93"/>
  <c r="E16" i="93"/>
  <c r="D16" i="93"/>
  <c r="H15" i="93"/>
  <c r="H14" i="93"/>
  <c r="G14" i="93"/>
  <c r="F14" i="93"/>
  <c r="E14" i="93"/>
  <c r="D14" i="93"/>
  <c r="H13" i="93"/>
  <c r="G13" i="93"/>
  <c r="F13" i="93"/>
  <c r="E13" i="93"/>
  <c r="D13" i="93"/>
  <c r="H12" i="93"/>
  <c r="G12" i="93"/>
  <c r="F12" i="93"/>
  <c r="E12" i="93"/>
  <c r="D12" i="93"/>
  <c r="H11" i="93"/>
  <c r="G11" i="93"/>
  <c r="F11" i="93"/>
  <c r="E11" i="93"/>
  <c r="D11" i="93"/>
  <c r="H10" i="93"/>
  <c r="G10" i="93"/>
  <c r="F10" i="93"/>
  <c r="E10" i="93"/>
  <c r="D10" i="93"/>
  <c r="H9" i="93"/>
</calcChain>
</file>

<file path=xl/comments1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del Caribe + G de La Guajira.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10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5" authorId="1">
      <text>
        <r>
          <rPr>
            <b/>
            <sz val="9"/>
            <color indexed="81"/>
            <rFont val="Tahoma"/>
            <family val="2"/>
          </rPr>
          <t>Alexander Cano:
Nom.Inicial: 1,200
Final : 0,00</t>
        </r>
      </text>
    </comment>
    <comment ref="I5" authorId="1">
      <text>
        <r>
          <rPr>
            <b/>
            <sz val="9"/>
            <color indexed="81"/>
            <rFont val="Tahoma"/>
            <family val="2"/>
          </rPr>
          <t>Alexander Cano:
Nom.Inicial : 0,00
Final : 1,200.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I17" authorId="1">
      <text>
        <r>
          <rPr>
            <b/>
            <sz val="9"/>
            <color indexed="81"/>
            <rFont val="Tahoma"/>
            <family val="2"/>
          </rPr>
          <t>Alexander Cano:
Isagen.</t>
        </r>
      </text>
    </comment>
    <comment ref="H21" authorId="1">
      <text>
        <r>
          <rPr>
            <b/>
            <sz val="9"/>
            <color indexed="81"/>
            <rFont val="Tahoma"/>
            <family val="2"/>
          </rPr>
          <t>Alexander Cano :
E2.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11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5" authorId="1">
      <text>
        <r>
          <rPr>
            <b/>
            <sz val="9"/>
            <color indexed="81"/>
            <rFont val="Tahoma"/>
            <family val="2"/>
          </rPr>
          <t>Alexander Cano:
Nom.Inicial: 1,200
Final : 0,00</t>
        </r>
      </text>
    </comment>
    <comment ref="I5" authorId="1">
      <text>
        <r>
          <rPr>
            <b/>
            <sz val="9"/>
            <color indexed="81"/>
            <rFont val="Tahoma"/>
            <family val="2"/>
          </rPr>
          <t>Alexander Cano:
Nom.Inicial : 0,00
Final : 1,200.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I17" authorId="1">
      <text>
        <r>
          <rPr>
            <b/>
            <sz val="9"/>
            <color indexed="81"/>
            <rFont val="Tahoma"/>
            <family val="2"/>
          </rPr>
          <t>Alexander Cano:
Isagen.</t>
        </r>
      </text>
    </comment>
    <comment ref="H21" authorId="1">
      <text>
        <r>
          <rPr>
            <b/>
            <sz val="9"/>
            <color indexed="81"/>
            <rFont val="Tahoma"/>
            <family val="2"/>
          </rPr>
          <t>Alexander Cano :
E2.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12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5" authorId="1">
      <text>
        <r>
          <rPr>
            <b/>
            <sz val="9"/>
            <color indexed="81"/>
            <rFont val="Tahoma"/>
            <family val="2"/>
          </rPr>
          <t>Alexander Cano:
Nom.Inicial: 1,200
Final : 0,00</t>
        </r>
      </text>
    </comment>
    <comment ref="I5" authorId="1">
      <text>
        <r>
          <rPr>
            <b/>
            <sz val="9"/>
            <color indexed="81"/>
            <rFont val="Tahoma"/>
            <family val="2"/>
          </rPr>
          <t>Alexander Cano:
Nom.Inicial : 0,00
Final : 1,200.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I17" authorId="1">
      <text>
        <r>
          <rPr>
            <b/>
            <sz val="9"/>
            <color indexed="81"/>
            <rFont val="Tahoma"/>
            <family val="2"/>
          </rPr>
          <t>Alexander Cano:
Isagen.</t>
        </r>
      </text>
    </comment>
    <comment ref="H21" authorId="1">
      <text>
        <r>
          <rPr>
            <b/>
            <sz val="9"/>
            <color indexed="81"/>
            <rFont val="Tahoma"/>
            <family val="2"/>
          </rPr>
          <t>Alexander Cano :
E2.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13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5" authorId="1">
      <text>
        <r>
          <rPr>
            <b/>
            <sz val="9"/>
            <color indexed="81"/>
            <rFont val="Tahoma"/>
            <family val="2"/>
          </rPr>
          <t>Alexander Cano:
Nom.Inicial: 1,200
Final : 0,00</t>
        </r>
      </text>
    </comment>
    <comment ref="I5" authorId="1">
      <text>
        <r>
          <rPr>
            <b/>
            <sz val="9"/>
            <color indexed="81"/>
            <rFont val="Tahoma"/>
            <family val="2"/>
          </rPr>
          <t>Alexander Cano:
Nom.Inicial : 0,00
Final : 1,200.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I17" authorId="1">
      <text>
        <r>
          <rPr>
            <b/>
            <sz val="9"/>
            <color indexed="81"/>
            <rFont val="Tahoma"/>
            <family val="2"/>
          </rPr>
          <t>Alexander Cano:
Isagen.</t>
        </r>
      </text>
    </comment>
    <comment ref="H21" authorId="1">
      <text>
        <r>
          <rPr>
            <b/>
            <sz val="9"/>
            <color indexed="81"/>
            <rFont val="Tahoma"/>
            <family val="2"/>
          </rPr>
          <t>Alexander Cano :
E2.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14.xml><?xml version="1.0" encoding="utf-8"?>
<comments xmlns="http://schemas.openxmlformats.org/spreadsheetml/2006/main">
  <authors>
    <author>Adriana Arias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</commentList>
</comments>
</file>

<file path=xl/comments15.xml><?xml version="1.0" encoding="utf-8"?>
<comments xmlns="http://schemas.openxmlformats.org/spreadsheetml/2006/main">
  <authors>
    <author>Adriana Arias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</commentList>
</comments>
</file>

<file path=xl/comments16.xml><?xml version="1.0" encoding="utf-8"?>
<comments xmlns="http://schemas.openxmlformats.org/spreadsheetml/2006/main">
  <authors>
    <author>Javier Pardo</author>
  </authors>
  <commentList>
    <comment ref="P50" authorId="0">
      <text>
        <r>
          <rPr>
            <b/>
            <sz val="9"/>
            <color indexed="81"/>
            <rFont val="Tahoma"/>
            <family val="2"/>
          </rPr>
          <t>Javier Pardo:</t>
        </r>
        <r>
          <rPr>
            <sz val="9"/>
            <color indexed="81"/>
            <rFont val="Tahoma"/>
            <family val="2"/>
          </rPr>
          <t xml:space="preserve">
Valor para hacer prorrata</t>
        </r>
      </text>
    </comment>
  </commentList>
</comments>
</file>

<file path=xl/comments2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4" authorId="1">
      <text>
        <r>
          <rPr>
            <b/>
            <sz val="9"/>
            <color indexed="81"/>
            <rFont val="Tahoma"/>
            <family val="2"/>
          </rPr>
          <t xml:space="preserve">Alexander Cano:
Nom. Inicial: 17,200 
Final : 12,401 MBTUD.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3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4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5" authorId="1">
      <text>
        <r>
          <rPr>
            <b/>
            <sz val="9"/>
            <color indexed="81"/>
            <rFont val="Tahoma"/>
            <family val="2"/>
          </rPr>
          <t>Alexander Cano:
Nom.Inicial: 1,200
Final : 0,00</t>
        </r>
      </text>
    </comment>
    <comment ref="I5" authorId="1">
      <text>
        <r>
          <rPr>
            <b/>
            <sz val="9"/>
            <color indexed="81"/>
            <rFont val="Tahoma"/>
            <family val="2"/>
          </rPr>
          <t>Alexander Cano:
Nom.Inicial : 0,00
Final : 1,200.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I17" authorId="1">
      <text>
        <r>
          <rPr>
            <b/>
            <sz val="9"/>
            <color indexed="81"/>
            <rFont val="Tahoma"/>
            <family val="2"/>
          </rPr>
          <t>Alexander Cano:
Isagen.</t>
        </r>
      </text>
    </comment>
    <comment ref="H21" authorId="1">
      <text>
        <r>
          <rPr>
            <b/>
            <sz val="9"/>
            <color indexed="81"/>
            <rFont val="Tahoma"/>
            <family val="2"/>
          </rPr>
          <t>Alexander Cano :
E2.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5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5" authorId="1">
      <text>
        <r>
          <rPr>
            <b/>
            <sz val="9"/>
            <color indexed="81"/>
            <rFont val="Tahoma"/>
            <family val="2"/>
          </rPr>
          <t>Alexander Cano:
Nom.Inicial: 1,200
Final : 0,00</t>
        </r>
      </text>
    </comment>
    <comment ref="I5" authorId="1">
      <text>
        <r>
          <rPr>
            <b/>
            <sz val="9"/>
            <color indexed="81"/>
            <rFont val="Tahoma"/>
            <family val="2"/>
          </rPr>
          <t>Alexander Cano:
Nom.Inicial : 0,00
Final : 1,200.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I17" authorId="1">
      <text>
        <r>
          <rPr>
            <b/>
            <sz val="9"/>
            <color indexed="81"/>
            <rFont val="Tahoma"/>
            <family val="2"/>
          </rPr>
          <t>Alexander Cano:
Isagen.</t>
        </r>
      </text>
    </comment>
    <comment ref="I21" authorId="1">
      <text>
        <r>
          <rPr>
            <b/>
            <sz val="9"/>
            <color indexed="81"/>
            <rFont val="Tahoma"/>
            <family val="2"/>
          </rPr>
          <t>Alexander Cano : 
Isagen.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6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5" authorId="1">
      <text>
        <r>
          <rPr>
            <b/>
            <sz val="9"/>
            <color indexed="81"/>
            <rFont val="Tahoma"/>
            <family val="2"/>
          </rPr>
          <t>Alexander Cano:
Nom.Inicial: 1,200
Final : 0,00</t>
        </r>
      </text>
    </comment>
    <comment ref="I5" authorId="1">
      <text>
        <r>
          <rPr>
            <b/>
            <sz val="9"/>
            <color indexed="81"/>
            <rFont val="Tahoma"/>
            <family val="2"/>
          </rPr>
          <t>Alexander Cano:
Nom.Inicial : 0,00
Final : 1,200.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I17" authorId="1">
      <text>
        <r>
          <rPr>
            <b/>
            <sz val="9"/>
            <color indexed="81"/>
            <rFont val="Tahoma"/>
            <family val="2"/>
          </rPr>
          <t>Alexander Cano:
Isagen.</t>
        </r>
      </text>
    </comment>
    <comment ref="H21" authorId="1">
      <text>
        <r>
          <rPr>
            <b/>
            <sz val="9"/>
            <color indexed="81"/>
            <rFont val="Tahoma"/>
            <family val="2"/>
          </rPr>
          <t>Alexander Cano :
E2.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7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5" authorId="1">
      <text>
        <r>
          <rPr>
            <b/>
            <sz val="9"/>
            <color indexed="81"/>
            <rFont val="Tahoma"/>
            <family val="2"/>
          </rPr>
          <t>Alexander Cano:
Nom.Inicial: 1,200
Final : 0,00</t>
        </r>
      </text>
    </comment>
    <comment ref="I5" authorId="1">
      <text>
        <r>
          <rPr>
            <b/>
            <sz val="9"/>
            <color indexed="81"/>
            <rFont val="Tahoma"/>
            <family val="2"/>
          </rPr>
          <t>Alexander Cano:
Nom.Inicial : 0,00
Final : 1,200.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I17" authorId="1">
      <text>
        <r>
          <rPr>
            <b/>
            <sz val="9"/>
            <color indexed="81"/>
            <rFont val="Tahoma"/>
            <family val="2"/>
          </rPr>
          <t>Alexander Cano:
Isagen.</t>
        </r>
      </text>
    </comment>
    <comment ref="H21" authorId="1">
      <text>
        <r>
          <rPr>
            <b/>
            <sz val="9"/>
            <color indexed="81"/>
            <rFont val="Tahoma"/>
            <family val="2"/>
          </rPr>
          <t>Alexander Cano :
E2.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8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5" authorId="1">
      <text>
        <r>
          <rPr>
            <b/>
            <sz val="9"/>
            <color indexed="81"/>
            <rFont val="Tahoma"/>
            <family val="2"/>
          </rPr>
          <t>Alexander Cano:
Nom.Inicial: 1,200
Final : 0,00</t>
        </r>
      </text>
    </comment>
    <comment ref="I5" authorId="1">
      <text>
        <r>
          <rPr>
            <b/>
            <sz val="9"/>
            <color indexed="81"/>
            <rFont val="Tahoma"/>
            <family val="2"/>
          </rPr>
          <t>Alexander Cano:
Nom.Inicial : 0,00
Final : 1,200.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I17" authorId="1">
      <text>
        <r>
          <rPr>
            <b/>
            <sz val="9"/>
            <color indexed="81"/>
            <rFont val="Tahoma"/>
            <family val="2"/>
          </rPr>
          <t>Alexander Cano:
Isagen.</t>
        </r>
      </text>
    </comment>
    <comment ref="H21" authorId="1">
      <text>
        <r>
          <rPr>
            <b/>
            <sz val="9"/>
            <color indexed="81"/>
            <rFont val="Tahoma"/>
            <family val="2"/>
          </rPr>
          <t>Alexander Cano :
E2.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comments9.xml><?xml version="1.0" encoding="utf-8"?>
<comments xmlns="http://schemas.openxmlformats.org/spreadsheetml/2006/main">
  <authors>
    <author>Adriana Arias</author>
    <author>Alexander Cano Alvarez</author>
    <author>Juan Zalamea</author>
  </authors>
  <commentList>
    <comment ref="AL4" authorId="0">
      <text>
        <r>
          <rPr>
            <b/>
            <sz val="9"/>
            <color indexed="81"/>
            <rFont val="Tahoma"/>
            <family val="2"/>
          </rPr>
          <t>Adriana Arias:</t>
        </r>
        <r>
          <rPr>
            <sz val="9"/>
            <color indexed="81"/>
            <rFont val="Tahoma"/>
            <family val="2"/>
          </rPr>
          <t xml:space="preserve">
5.000</t>
        </r>
      </text>
    </comment>
    <comment ref="H5" authorId="1">
      <text>
        <r>
          <rPr>
            <b/>
            <sz val="9"/>
            <color indexed="81"/>
            <rFont val="Tahoma"/>
            <family val="2"/>
          </rPr>
          <t>Alexander Cano:
Nom.Inicial: 1,200
Final : 0,00</t>
        </r>
      </text>
    </comment>
    <comment ref="I5" authorId="1">
      <text>
        <r>
          <rPr>
            <b/>
            <sz val="9"/>
            <color indexed="81"/>
            <rFont val="Tahoma"/>
            <family val="2"/>
          </rPr>
          <t>Alexander Cano:
Nom.Inicial : 0,00
Final : 1,200.</t>
        </r>
      </text>
    </comment>
    <comment ref="H7" authorId="1">
      <text>
        <r>
          <rPr>
            <b/>
            <sz val="9"/>
            <color indexed="81"/>
            <rFont val="Tahoma"/>
            <family val="2"/>
          </rPr>
          <t>Alexander Cano :
G de La Guajira +       G del Caribe.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 xml:space="preserve">Renominación de Celsia de cero a 5752
</t>
        </r>
      </text>
    </comment>
    <comment ref="H17" authorId="1">
      <text>
        <r>
          <rPr>
            <b/>
            <sz val="9"/>
            <color indexed="81"/>
            <rFont val="Tahoma"/>
            <family val="2"/>
          </rPr>
          <t xml:space="preserve">Alexander Cano:
E2.
</t>
        </r>
      </text>
    </comment>
    <comment ref="I17" authorId="1">
      <text>
        <r>
          <rPr>
            <b/>
            <sz val="9"/>
            <color indexed="81"/>
            <rFont val="Tahoma"/>
            <family val="2"/>
          </rPr>
          <t>Alexander Cano:
Isagen.</t>
        </r>
      </text>
    </comment>
    <comment ref="H21" authorId="1">
      <text>
        <r>
          <rPr>
            <b/>
            <sz val="9"/>
            <color indexed="81"/>
            <rFont val="Tahoma"/>
            <family val="2"/>
          </rPr>
          <t>Alexander Cano :
E2.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 xml:space="preserve">Alexander Cano:
Celsia S.A. E.S.P.
</t>
        </r>
      </text>
    </comment>
    <comment ref="I51" authorId="1">
      <text>
        <r>
          <rPr>
            <b/>
            <sz val="9"/>
            <color indexed="81"/>
            <rFont val="Tahoma"/>
            <family val="2"/>
          </rPr>
          <t xml:space="preserve">Alexander Cano:
Nom. Inicial: 0,000 
Final : 0,00 MBTUD.
</t>
        </r>
      </text>
    </comment>
  </commentList>
</comments>
</file>

<file path=xl/sharedStrings.xml><?xml version="1.0" encoding="utf-8"?>
<sst xmlns="http://schemas.openxmlformats.org/spreadsheetml/2006/main" count="24233" uniqueCount="320">
  <si>
    <t>Tipo</t>
  </si>
  <si>
    <t>Destino</t>
  </si>
  <si>
    <t># 3ra.</t>
  </si>
  <si>
    <t>Mercado</t>
  </si>
  <si>
    <t>Contrato</t>
  </si>
  <si>
    <t>Cliente</t>
  </si>
  <si>
    <t>PROMIGAS</t>
  </si>
  <si>
    <t>TGI</t>
  </si>
  <si>
    <t>PDVSA</t>
  </si>
  <si>
    <t>Total</t>
  </si>
  <si>
    <t>Balance</t>
  </si>
  <si>
    <t>Sub-Total 1</t>
  </si>
  <si>
    <t>Sub-Total 2</t>
  </si>
  <si>
    <t>%</t>
  </si>
  <si>
    <t>Ajuste
Sub-total 2</t>
  </si>
  <si>
    <t>Ajuste
Prorrata</t>
  </si>
  <si>
    <t>Ajuste
Manual</t>
  </si>
  <si>
    <t>Promigas</t>
  </si>
  <si>
    <t>Aprobado</t>
  </si>
  <si>
    <t>Balance
Final</t>
  </si>
  <si>
    <t>KPCD</t>
  </si>
  <si>
    <t>MBTUD</t>
  </si>
  <si>
    <t>Nominación - MBTUD</t>
  </si>
  <si>
    <t>Balance-Desbalance
MBTUD</t>
  </si>
  <si>
    <t>Capacidad Sin
Comercializar
 MBTUD</t>
  </si>
  <si>
    <t>Firme</t>
  </si>
  <si>
    <t>Primario</t>
  </si>
  <si>
    <t>Domiciliario</t>
  </si>
  <si>
    <t>Regulado</t>
  </si>
  <si>
    <t>GAS-CF-13-357</t>
  </si>
  <si>
    <t>CAPACIDAD  DE PRODUCCION</t>
  </si>
  <si>
    <t xml:space="preserve">PDVSA </t>
  </si>
  <si>
    <t>GAS-CF-13-358</t>
  </si>
  <si>
    <t>Gas Natural del Cesar S. A. ESP.</t>
  </si>
  <si>
    <t>ECP (57%)</t>
  </si>
  <si>
    <t>CDE</t>
  </si>
  <si>
    <t>GAS-CF-13-366</t>
  </si>
  <si>
    <t>Empresas Publicas de Medellín S.A E.S.P</t>
  </si>
  <si>
    <t>CVX (43%)</t>
  </si>
  <si>
    <t>GAS-CF-13-367</t>
  </si>
  <si>
    <t>Efigas Gas Natural S.A. E.S.P</t>
  </si>
  <si>
    <t>Totales por gasoducto y nominado</t>
  </si>
  <si>
    <t>GAS-CF-13-368</t>
  </si>
  <si>
    <t>Surtigas S.A. E.S.P.</t>
  </si>
  <si>
    <t>GAS-CF-13-359</t>
  </si>
  <si>
    <t>Gases del Caribe S.A. E.S.P</t>
  </si>
  <si>
    <t>GAS-CF-13-362</t>
  </si>
  <si>
    <t>Fecha</t>
  </si>
  <si>
    <t>@14.73</t>
  </si>
  <si>
    <t>GAS-CF-13-370</t>
  </si>
  <si>
    <t>Alcanos de Colombia S.A. E.S.P.</t>
  </si>
  <si>
    <t>GAS-CF-13-369</t>
  </si>
  <si>
    <t>Electrico</t>
  </si>
  <si>
    <t>No Regulado</t>
  </si>
  <si>
    <t>GAS-CF-13-355</t>
  </si>
  <si>
    <t>Gecelca S.A. E.S.P.</t>
  </si>
  <si>
    <t>CVX</t>
  </si>
  <si>
    <t>Ecop</t>
  </si>
  <si>
    <t>GAS-CF-13-356</t>
  </si>
  <si>
    <t>OBA (MBTUD) - PROMIGAS</t>
  </si>
  <si>
    <t>ECP</t>
  </si>
  <si>
    <t>Termico</t>
  </si>
  <si>
    <t>GAS-CF-13-364</t>
  </si>
  <si>
    <t>Zona Franca Celsia S. A. ESP.</t>
  </si>
  <si>
    <t>OBA (MBTUD) - TGI</t>
  </si>
  <si>
    <t>GAS-CF-13-360</t>
  </si>
  <si>
    <t>GAS-CF-13-365</t>
  </si>
  <si>
    <t>Capacidad Venta (KPCD)</t>
  </si>
  <si>
    <t>GAS-CF-13-361</t>
  </si>
  <si>
    <t>GAS-OM-12-350</t>
  </si>
  <si>
    <t>Capacidad Venta (MBTUD)</t>
  </si>
  <si>
    <t>GAS-CF-13-363</t>
  </si>
  <si>
    <t>GAS-OM-12-351</t>
  </si>
  <si>
    <t>Control</t>
  </si>
  <si>
    <t>Industrial</t>
  </si>
  <si>
    <t>GAS-OM-06-191</t>
  </si>
  <si>
    <t>Abocol - GAS-OM-06-191 - Industrial (NR)</t>
  </si>
  <si>
    <t>Capcidad Disponible Chevron (MBTUD):</t>
  </si>
  <si>
    <t>Aprobado Vs. Produccion</t>
  </si>
  <si>
    <t>Cesion de Ecopetrol (MBTUD)</t>
  </si>
  <si>
    <t>GNV</t>
  </si>
  <si>
    <t>GAS-CF-13-371</t>
  </si>
  <si>
    <t>CDEX</t>
  </si>
  <si>
    <t>Ecopetrol</t>
  </si>
  <si>
    <t>Poderes Calofiricos</t>
  </si>
  <si>
    <t>Exportacion</t>
  </si>
  <si>
    <t>ECP-CVX-001-07</t>
  </si>
  <si>
    <t>Secundario</t>
  </si>
  <si>
    <t>Gases de Occidente S.A. E.S.P.</t>
  </si>
  <si>
    <t>AVG</t>
  </si>
  <si>
    <t xml:space="preserve"> </t>
  </si>
  <si>
    <t>Acep.PDVSA</t>
  </si>
  <si>
    <t>Gas Firme</t>
  </si>
  <si>
    <t>FIRME</t>
  </si>
  <si>
    <t xml:space="preserve">Totales </t>
  </si>
  <si>
    <t>CONTRATO</t>
  </si>
  <si>
    <t>Gases del Caribe S.A. E.S.P.</t>
  </si>
  <si>
    <t>Gecelca</t>
  </si>
  <si>
    <t>Zona Franca - Cesia</t>
  </si>
  <si>
    <t>Control Deshidratacion</t>
  </si>
  <si>
    <t>Interrumpible</t>
  </si>
  <si>
    <t>Distribuidor</t>
  </si>
  <si>
    <t>GAS-OM-11-328</t>
  </si>
  <si>
    <t>GAS-OM-10-329</t>
  </si>
  <si>
    <t>GAS-OM-11-331</t>
  </si>
  <si>
    <t>GAS-OM-10-308</t>
  </si>
  <si>
    <t>Gecelca S.A. ESP - Incremental (TermoGuajira 1)</t>
  </si>
  <si>
    <t>Capacidad de Deshidratacion Promigas:</t>
  </si>
  <si>
    <t>GAS-OM-11-336B</t>
  </si>
  <si>
    <t>Gasoducto</t>
  </si>
  <si>
    <t>OBA Asociación</t>
  </si>
  <si>
    <t>LPS</t>
  </si>
  <si>
    <t>PDVSA Gas</t>
  </si>
  <si>
    <t>Totales en MBTUD</t>
  </si>
  <si>
    <t>Totales en KPCD</t>
  </si>
  <si>
    <t>Térmicas Costa - Gas Guajira  (MBTUD)</t>
  </si>
  <si>
    <t>Térmicas Interior (MBTUD)</t>
  </si>
  <si>
    <t>Incrementales (MBTUD)</t>
  </si>
  <si>
    <t>Horas entregadas:</t>
  </si>
  <si>
    <t>Hora de datos</t>
  </si>
  <si>
    <t>Horas Pendientes:</t>
  </si>
  <si>
    <t>Transportador</t>
  </si>
  <si>
    <t>Nominacion Inicial</t>
  </si>
  <si>
    <t>Entregas Reales Acumuladas</t>
  </si>
  <si>
    <t>Renominación (MBTUD)</t>
  </si>
  <si>
    <t>Entregas Estimadas 24 Hrs</t>
  </si>
  <si>
    <t>Desbalance Estimado 24 Hrs.</t>
  </si>
  <si>
    <t>Volumen Acumulado (MBTUD)</t>
  </si>
  <si>
    <t>Entregas Puntuales Para lograr Nominacion
(MBTUD)</t>
  </si>
  <si>
    <t>(MBTUD)</t>
  </si>
  <si>
    <t>TOTAL</t>
  </si>
  <si>
    <t>Riohacha Promedio</t>
  </si>
  <si>
    <t>0:00 - 8:00</t>
  </si>
  <si>
    <t>8:01 - 12:00</t>
  </si>
  <si>
    <t>12:01 - 24:00</t>
  </si>
  <si>
    <t>PROMEDIO DIA</t>
  </si>
  <si>
    <t>PERFIL HORARIO  PROMIGAS</t>
  </si>
  <si>
    <t>0:00 - 1:00</t>
  </si>
  <si>
    <t>1:01 - 2:00</t>
  </si>
  <si>
    <t>Total Nominaciones</t>
  </si>
  <si>
    <t>6:01 - 9:00</t>
  </si>
  <si>
    <t>9:01 - 15:00</t>
  </si>
  <si>
    <t>15:01 - 17:00</t>
  </si>
  <si>
    <t>17:01 - 21:00</t>
  </si>
  <si>
    <t>21:01 - 24:00</t>
  </si>
  <si>
    <t>Cantidad a recortar</t>
  </si>
  <si>
    <t>Mercado Secundario Termico + Industrial</t>
  </si>
  <si>
    <t>TIPO  DE  CONTRATO</t>
  </si>
  <si>
    <t>ZONA</t>
  </si>
  <si>
    <t>MERCADO</t>
  </si>
  <si>
    <t>Nominado</t>
  </si>
  <si>
    <t>Aceptado</t>
  </si>
  <si>
    <t>Cantidades No Aceptadas</t>
  </si>
  <si>
    <t>PERFIL HORARIO  TGI</t>
  </si>
  <si>
    <t>COSTA</t>
  </si>
  <si>
    <t>15:00 - 24:00</t>
  </si>
  <si>
    <t>Refinería</t>
  </si>
  <si>
    <t>Industrial (No Regulado)</t>
  </si>
  <si>
    <t>INTERIOR</t>
  </si>
  <si>
    <t xml:space="preserve">EXPORTACION </t>
  </si>
  <si>
    <t>INTERRUMPIBLE</t>
  </si>
  <si>
    <t>TOTALES</t>
  </si>
  <si>
    <t xml:space="preserve">TOTAL  EXPORTACION </t>
  </si>
  <si>
    <t>TOTAL  COSTA + INTERIOR</t>
  </si>
  <si>
    <t>LPS TGI</t>
  </si>
  <si>
    <t>KPC</t>
  </si>
  <si>
    <t>MBTU</t>
  </si>
  <si>
    <t>Gecelca S.A. E.S.P. (OCG)</t>
  </si>
  <si>
    <t>Zona Franca Celsia S. A. ESP. (OCG)</t>
  </si>
  <si>
    <t>Total CVX para venta (MBTUD):</t>
  </si>
  <si>
    <t>Zona Franca Celsia S.A E.S.P.</t>
  </si>
  <si>
    <t>Ajuste Entregas</t>
  </si>
  <si>
    <t>Acumulado</t>
  </si>
  <si>
    <t>18:30 HORAS</t>
  </si>
  <si>
    <t>Saldo</t>
  </si>
  <si>
    <t>Adicional</t>
  </si>
  <si>
    <t>Ajuste Entrega</t>
  </si>
  <si>
    <t>Riohacha</t>
  </si>
  <si>
    <t>Acumulado Real</t>
  </si>
  <si>
    <t>Acum.Esperado</t>
  </si>
  <si>
    <t>Cdex</t>
  </si>
  <si>
    <t>Acum. 24 horas</t>
  </si>
  <si>
    <t>PERFIL HORARIO  PDVSA</t>
  </si>
  <si>
    <t>Térmico</t>
  </si>
  <si>
    <t>2:01 - 6:00</t>
  </si>
  <si>
    <t>Sector</t>
  </si>
  <si>
    <t>Nominaciones @1.150 psig en la T</t>
  </si>
  <si>
    <t>Capacidad Producción (MBTUD) @1.080 en la T</t>
  </si>
  <si>
    <t>Capacidad Producción (MBTUD) @ 1.150 en la T</t>
  </si>
  <si>
    <t>Capacidad Produccion (KPCD) @ 1.150</t>
  </si>
  <si>
    <t>Capacidad Produccion (KPCD) @ 1.080</t>
  </si>
  <si>
    <t>Capacidad Produccion (MBTUD)@1.150</t>
  </si>
  <si>
    <t>Capacidad Produccion (MBTUD)@1.080</t>
  </si>
  <si>
    <t>EPM</t>
  </si>
  <si>
    <t>ENTREGAS</t>
  </si>
  <si>
    <t>F&amp;F</t>
  </si>
  <si>
    <t>PRM</t>
  </si>
  <si>
    <t>ISAGEN</t>
  </si>
  <si>
    <t>CHEVRON PETROLEUM COMPANY</t>
  </si>
  <si>
    <t>CAPACIDAD DE PRODUCCION DISTRITO GUAJIRA</t>
  </si>
  <si>
    <t xml:space="preserve">DIA DE GAS </t>
  </si>
  <si>
    <t xml:space="preserve">HORA </t>
  </si>
  <si>
    <t>BALLENA</t>
  </si>
  <si>
    <t>CHU-A</t>
  </si>
  <si>
    <t>CHU-B</t>
  </si>
  <si>
    <t>RCHA</t>
  </si>
  <si>
    <t>DISPONIBILIDAD TOTAL</t>
  </si>
  <si>
    <t>COMENTARIO</t>
  </si>
  <si>
    <t>0:00 - 1:00 AM</t>
  </si>
  <si>
    <t>1:00 AM - 2:00 AM</t>
  </si>
  <si>
    <t>2:00 AM - 3:00 AM</t>
  </si>
  <si>
    <t>3:00 AM - 4:00 AM</t>
  </si>
  <si>
    <t>4:00 AM - 5:00 AM</t>
  </si>
  <si>
    <t>5:00 AM - 6:00 AM</t>
  </si>
  <si>
    <t>6:00 AM - 7:00 AM</t>
  </si>
  <si>
    <t>7:00 AM - 8:00 AM</t>
  </si>
  <si>
    <t>8:00 AM - 9:00 AM</t>
  </si>
  <si>
    <t>9:00 AM - 10:00 AM</t>
  </si>
  <si>
    <t>10:00 AM - 11:00 AM</t>
  </si>
  <si>
    <t>11:00 AM - 12:00 PM</t>
  </si>
  <si>
    <t>12:00 PM - 1:00 PM</t>
  </si>
  <si>
    <t>1:00 PM - 2:00 PM</t>
  </si>
  <si>
    <t>2:00 PM - 3:00 PM</t>
  </si>
  <si>
    <t>3:00 PM - 4:00 PM</t>
  </si>
  <si>
    <t>4:00 PM - 5:00 PM</t>
  </si>
  <si>
    <t>5:00 PM - 6:00 PM</t>
  </si>
  <si>
    <t>6:00 PM - 7:00 PM</t>
  </si>
  <si>
    <t>7:00 PM - 8:00 PM</t>
  </si>
  <si>
    <t>8:00 PM - 9:00 PM</t>
  </si>
  <si>
    <t>9:00 PM - 10:00 PM</t>
  </si>
  <si>
    <t>10:00 PM - 11:00 PM</t>
  </si>
  <si>
    <t>11:00 PM - 12:00 AM</t>
  </si>
  <si>
    <t>PROM</t>
  </si>
  <si>
    <t>Total día</t>
  </si>
  <si>
    <t>EVENTO:  BHP CHU 20 / CHU 2 DEL 5 AL 11 DE MAYO DE 2014.  Mantenimiento Tren B 4.4K. BGC/Gace 4 Tie-ins Parada 1 (Tren A, B y VCP No Disponibles).</t>
  </si>
  <si>
    <t>11 de Mayo</t>
  </si>
  <si>
    <t>Mantenimiento 4.4 K Tren B.
BGC/Gace 4 Tie-ins Parada 1 (Tren A, B y VCP No Disponibles).
Riohacha afectado por HCDP.</t>
  </si>
  <si>
    <t>Mantenimiento 4.4 K Tren B. Mantenimiento Separador Chu-14 (Solo 11 de Mayo). BGC/Gace 4 Tie-ins Parada 1 (Tren A, B y VCP No Disponibles).
Mantenimiento VCP SK 430 PM 10000 Motor 2000 horas/Compresor 2000 horas.
Riohacha afectado por HCDP.
A las 6:00 horas se cierra CHU 20 para el PBU por 28 horas.</t>
  </si>
  <si>
    <t>CONTROL NOMINACIONES CDE CLIENTES FIRMES</t>
  </si>
  <si>
    <t>CELSIA</t>
  </si>
  <si>
    <t>GASES DEL CARIBE</t>
  </si>
  <si>
    <t>CDN</t>
  </si>
  <si>
    <t>Diferencia</t>
  </si>
  <si>
    <t xml:space="preserve">Gases de Occidente </t>
  </si>
  <si>
    <t>Empresas Publicas de Medellín S.A E.S.P (Drummond)</t>
  </si>
  <si>
    <t>GAS-OM-11-337</t>
  </si>
  <si>
    <t>ColInversiones</t>
  </si>
  <si>
    <t>Gases del Caribe S.A. E.S.P (GdC Autogeneración)</t>
  </si>
  <si>
    <t>Riohacha Acumulado</t>
  </si>
  <si>
    <t>ABOCOL</t>
  </si>
  <si>
    <t>GDELCARIBE</t>
  </si>
  <si>
    <t>SURTIGAS</t>
  </si>
  <si>
    <t>Costa</t>
  </si>
  <si>
    <t>GECELCA</t>
  </si>
  <si>
    <t>Interior</t>
  </si>
  <si>
    <t xml:space="preserve">CELSIA </t>
  </si>
  <si>
    <t>Gdel Caribe</t>
  </si>
  <si>
    <t>GDEL CARIBE</t>
  </si>
  <si>
    <t>EVENTO:  Mantenimiento VCP SK 450 PM 10000 Motor 2000 horas/Compresor 2000 horas</t>
  </si>
  <si>
    <t>24 de Mayo</t>
  </si>
  <si>
    <t>Mantenimiento VCP SK 450 PM 10000 Motor 2000 horas/Compresor 2000 horas</t>
  </si>
  <si>
    <t>BALANCE</t>
  </si>
  <si>
    <t>HORA</t>
  </si>
  <si>
    <t>FLUJO HORARIO MBTU</t>
  </si>
  <si>
    <t>00:00 - 06:00</t>
  </si>
  <si>
    <t>06:00 - 18:00</t>
  </si>
  <si>
    <t>18:00 - 24:00</t>
  </si>
  <si>
    <t>MBTUH</t>
  </si>
  <si>
    <t>acumulados</t>
  </si>
  <si>
    <t>06.00 - 07:00</t>
  </si>
  <si>
    <t>07:00 - 18:00</t>
  </si>
  <si>
    <t>Riohacha Hora</t>
  </si>
  <si>
    <t>Adj. Entregas Puntuales Para lograr Nominacion
(MBTUD)</t>
  </si>
  <si>
    <t>RNM CLTE LOCAL</t>
  </si>
  <si>
    <t>0:00 - 08:00</t>
  </si>
  <si>
    <t>08:00 - 24:00</t>
  </si>
  <si>
    <t>Entrega MBTUH</t>
  </si>
  <si>
    <t>Perfil Horario</t>
  </si>
  <si>
    <t>Gases del Caribe S.A. E.S.P (E2)</t>
  </si>
  <si>
    <t>REGION</t>
  </si>
  <si>
    <t>SECTOR</t>
  </si>
  <si>
    <t>NOMINADO</t>
  </si>
  <si>
    <t>ACEPTADO</t>
  </si>
  <si>
    <t>RESIDENCIAL</t>
  </si>
  <si>
    <t>INDUSTRIAL</t>
  </si>
  <si>
    <t>TÉRMICO</t>
  </si>
  <si>
    <t>REFINERIA</t>
  </si>
  <si>
    <t>REFINERIA CARTAGENA</t>
  </si>
  <si>
    <t>REFINERIA BARRANCABERMEJA</t>
  </si>
  <si>
    <t>EXPORTACIÓN</t>
  </si>
  <si>
    <t>Cummulative</t>
  </si>
  <si>
    <t>12m</t>
  </si>
  <si>
    <t>Est EOD</t>
  </si>
  <si>
    <t xml:space="preserve">Responsable: Alexander Cano Cel: 317 - 300 76 97 / OPCO: 316 - 526 54 82.  </t>
  </si>
  <si>
    <t>EVENTO:  Parada del Tren B centrifugo de compresión, para trabajos de Interferencia válvulas existentes en montaje tren A</t>
  </si>
  <si>
    <t>DISPONIBILIDAD TOTAL MBTU</t>
  </si>
  <si>
    <t>Hora</t>
  </si>
  <si>
    <t>Flujo en MBTU</t>
  </si>
  <si>
    <t>0:00 - 7:00 AM</t>
  </si>
  <si>
    <t>Parada del Tren B centrifugo de compresión, para trabajos de Interferencia válvulas existentes en montaje tren A</t>
  </si>
  <si>
    <t>7:00 AM - 12:00 PM</t>
  </si>
  <si>
    <t xml:space="preserve">12:00 PM - 00:00 </t>
  </si>
  <si>
    <t>Total Día</t>
  </si>
  <si>
    <t>Backup: Javier Pardo Cel: 316 - 481 95 65</t>
  </si>
  <si>
    <t>Interrumpibles</t>
  </si>
  <si>
    <t>G del Caribe</t>
  </si>
  <si>
    <t>Porcentaje</t>
  </si>
  <si>
    <t>Asignado</t>
  </si>
  <si>
    <t>A recortar</t>
  </si>
  <si>
    <t>Gases del Caribe S.A. E.S.P (Gazel)</t>
  </si>
  <si>
    <t xml:space="preserve">Responsable: Javier Pardo Cel: 316 481-9565 / OPCO: 316 - 526 54 82.  </t>
  </si>
  <si>
    <t>Backup: Catalina Alfonso 316-529 5731</t>
  </si>
  <si>
    <t>REFINERIA CTG</t>
  </si>
  <si>
    <t xml:space="preserve">Responsable: Catalina Alfonso 316-529 5731/ OPCO: 316 - 526 54 82.  </t>
  </si>
  <si>
    <t>Backup: Adriana Arias Cel: 316 - 529 57 07.</t>
  </si>
  <si>
    <t>flujos</t>
  </si>
  <si>
    <t>dif</t>
  </si>
  <si>
    <t>Backup: Alexander Cano  Cel: 317 - 300 7697</t>
  </si>
  <si>
    <t xml:space="preserve">Responsable: Adriana Arias 316-529 5707/ OPCO: 316 - 526 54 82.  </t>
  </si>
  <si>
    <t>CN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</si>
</sst>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[$-C0A]d\-mmm\-yy;@"/>
    <numFmt numFmtId="167" formatCode="_(* #,##0.000000_);_(* \(#,##0.000000\);_(* &quot;-&quot;??_);_(@_)"/>
    <numFmt numFmtId="168" formatCode="0.000"/>
    <numFmt numFmtId="169" formatCode="0.0"/>
    <numFmt numFmtId="170" formatCode="[$-C0A]dd\-mmm\-yy;@"/>
    <numFmt numFmtId="171" formatCode="0.00000"/>
    <numFmt numFmtId="172" formatCode="_ [$€-2]\ * #,##0.00_ ;_ [$€-2]\ * \-#,##0.00_ ;_ [$€-2]\ * &quot;-&quot;??_ "/>
    <numFmt numFmtId="173" formatCode="_([$€]* #,##0.00_);_([$€]* \(#,##0.00\);_([$€]* &quot;-&quot;??_);_(@_)"/>
    <numFmt numFmtId="174" formatCode="_-* #,##0\ _p_t_a_-;\-* #,##0\ _p_t_a_-;_-* &quot;-&quot;\ _p_t_a_-;_-@_-"/>
    <numFmt numFmtId="175" formatCode="_ * #,##0.00_ ;_ * \-#,##0.00_ ;_ * &quot;-&quot;??_ ;_ @_ "/>
    <numFmt numFmtId="176" formatCode="_(* #,##0.0_);_(* \(#,##0.0\);_(* &quot;-&quot;??_);_(@_)"/>
    <numFmt numFmtId="177" formatCode="0.000%"/>
    <numFmt numFmtId="178" formatCode="[$-409]d\-mmm\-yy;@"/>
    <numFmt numFmtId="179" formatCode="###,###&quot;(*)&quot;"/>
    <numFmt numFmtId="180" formatCode="dd\-mmm\-yy"/>
    <numFmt numFmtId="181" formatCode="_(* #,##0.0000000_);_(* \(#,##0.0000000\);_(* &quot;-&quot;??_);_(@_)"/>
    <numFmt numFmtId="182" formatCode="#,##0.000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color rgb="FFFF0000"/>
      <name val="Arial"/>
      <family val="2"/>
    </font>
    <font>
      <b/>
      <sz val="14"/>
      <color theme="1"/>
      <name val="Arial"/>
      <family val="2"/>
    </font>
    <font>
      <b/>
      <sz val="9"/>
      <color rgb="FFFF0000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9"/>
      <color rgb="FFFFFF00"/>
      <name val="Arial"/>
      <family val="2"/>
    </font>
    <font>
      <b/>
      <sz val="9"/>
      <color indexed="8"/>
      <name val="Arial"/>
      <family val="2"/>
    </font>
    <font>
      <sz val="9"/>
      <color rgb="FFFFFF00"/>
      <name val="Arial"/>
      <family val="2"/>
    </font>
    <font>
      <sz val="8"/>
      <color theme="1"/>
      <name val="Arial"/>
      <family val="2"/>
    </font>
    <font>
      <sz val="10"/>
      <color theme="3" tint="-0.249977111117893"/>
      <name val="Arial"/>
      <family val="2"/>
    </font>
    <font>
      <sz val="11"/>
      <color indexed="8"/>
      <name val="Calibri"/>
      <family val="2"/>
    </font>
    <font>
      <sz val="11"/>
      <color theme="0"/>
      <name val="Calibri"/>
      <family val="2"/>
    </font>
    <font>
      <sz val="9"/>
      <color theme="1"/>
      <name val="Verdana"/>
      <family val="2"/>
    </font>
    <font>
      <b/>
      <sz val="8"/>
      <color theme="1"/>
      <name val="Verdana"/>
      <family val="2"/>
    </font>
    <font>
      <sz val="8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0000"/>
      <name val="Verdana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11"/>
      <color rgb="FF1F497D"/>
      <name val="Calibri"/>
      <family val="2"/>
    </font>
    <font>
      <b/>
      <sz val="10"/>
      <color theme="4"/>
      <name val="Arial"/>
      <family val="2"/>
    </font>
    <font>
      <sz val="9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4"/>
      <name val="Arial"/>
      <family val="2"/>
    </font>
    <font>
      <sz val="9"/>
      <color indexed="12"/>
      <name val="Arial"/>
      <family val="2"/>
    </font>
    <font>
      <sz val="12"/>
      <name val="Arial"/>
      <family val="2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8"/>
      <name val="Arial"/>
      <family val="2"/>
    </font>
    <font>
      <sz val="12"/>
      <color theme="0"/>
      <name val="Arial"/>
      <family val="2"/>
    </font>
    <font>
      <sz val="8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7FDA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7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30" fillId="0" borderId="0" applyFont="0" applyFill="0" applyBorder="0" applyAlignment="0" applyProtection="0"/>
    <xf numFmtId="0" fontId="31" fillId="2" borderId="0" applyNumberFormat="0" applyBorder="0" applyAlignment="0" applyProtection="0"/>
    <xf numFmtId="0" fontId="12" fillId="0" borderId="0"/>
    <xf numFmtId="0" fontId="12" fillId="0" borderId="0"/>
    <xf numFmtId="172" fontId="12" fillId="0" borderId="0"/>
    <xf numFmtId="0" fontId="12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2" fillId="3" borderId="0" applyNumberFormat="0" applyBorder="0" applyAlignment="0" applyProtection="0"/>
    <xf numFmtId="0" fontId="31" fillId="3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" fillId="0" borderId="0"/>
    <xf numFmtId="0" fontId="12" fillId="0" borderId="0"/>
    <xf numFmtId="172" fontId="12" fillId="0" borderId="0"/>
    <xf numFmtId="0" fontId="12" fillId="0" borderId="0"/>
    <xf numFmtId="0" fontId="12" fillId="0" borderId="0"/>
    <xf numFmtId="172" fontId="1" fillId="0" borderId="0"/>
    <xf numFmtId="172" fontId="1" fillId="0" borderId="0"/>
    <xf numFmtId="0" fontId="12" fillId="0" borderId="0"/>
    <xf numFmtId="172" fontId="1" fillId="0" borderId="0"/>
    <xf numFmtId="172" fontId="1" fillId="0" borderId="0"/>
    <xf numFmtId="172" fontId="1" fillId="0" borderId="0"/>
    <xf numFmtId="0" fontId="12" fillId="0" borderId="0"/>
    <xf numFmtId="0" fontId="12" fillId="0" borderId="0"/>
    <xf numFmtId="172" fontId="1" fillId="0" borderId="0"/>
    <xf numFmtId="172" fontId="1" fillId="0" borderId="0"/>
    <xf numFmtId="0" fontId="12" fillId="0" borderId="0"/>
    <xf numFmtId="172" fontId="1" fillId="0" borderId="0"/>
    <xf numFmtId="0" fontId="12" fillId="0" borderId="0"/>
    <xf numFmtId="172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2" fillId="0" borderId="0"/>
    <xf numFmtId="172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172" fontId="12" fillId="0" borderId="0"/>
    <xf numFmtId="0" fontId="12" fillId="0" borderId="0"/>
    <xf numFmtId="172" fontId="12" fillId="0" borderId="0"/>
    <xf numFmtId="0" fontId="12" fillId="0" borderId="0"/>
    <xf numFmtId="172" fontId="12" fillId="0" borderId="0"/>
    <xf numFmtId="172" fontId="12" fillId="0" borderId="0"/>
    <xf numFmtId="172" fontId="12" fillId="0" borderId="0"/>
    <xf numFmtId="0" fontId="3" fillId="0" borderId="0"/>
    <xf numFmtId="172" fontId="12" fillId="0" borderId="0"/>
    <xf numFmtId="0" fontId="12" fillId="0" borderId="0"/>
    <xf numFmtId="172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/>
    <xf numFmtId="0" fontId="1" fillId="0" borderId="0"/>
    <xf numFmtId="0" fontId="12" fillId="0" borderId="0"/>
    <xf numFmtId="0" fontId="12" fillId="0" borderId="0"/>
    <xf numFmtId="172" fontId="12" fillId="0" borderId="0"/>
    <xf numFmtId="172" fontId="12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2" fillId="0" borderId="0"/>
    <xf numFmtId="172" fontId="1" fillId="0" borderId="0"/>
    <xf numFmtId="0" fontId="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2" fillId="0" borderId="0"/>
    <xf numFmtId="172" fontId="12" fillId="0" borderId="0"/>
    <xf numFmtId="172" fontId="1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2" fillId="0" borderId="0"/>
    <xf numFmtId="0" fontId="12" fillId="0" borderId="0"/>
    <xf numFmtId="0" fontId="12" fillId="0" borderId="0"/>
    <xf numFmtId="172" fontId="1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/>
    <xf numFmtId="172" fontId="12" fillId="0" borderId="0"/>
    <xf numFmtId="0" fontId="12" fillId="0" borderId="0"/>
    <xf numFmtId="0" fontId="12" fillId="0" borderId="0"/>
    <xf numFmtId="0" fontId="12" fillId="0" borderId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0" borderId="0"/>
  </cellStyleXfs>
  <cellXfs count="908">
    <xf numFmtId="0" fontId="0" fillId="0" borderId="0" xfId="0"/>
    <xf numFmtId="0" fontId="4" fillId="4" borderId="1" xfId="3" applyFont="1" applyFill="1" applyBorder="1" applyAlignment="1">
      <alignment horizontal="center" vertical="center"/>
    </xf>
    <xf numFmtId="0" fontId="5" fillId="5" borderId="1" xfId="3" applyFont="1" applyFill="1" applyBorder="1" applyAlignment="1">
      <alignment horizontal="center" vertical="center"/>
    </xf>
    <xf numFmtId="0" fontId="5" fillId="6" borderId="1" xfId="3" applyFont="1" applyFill="1" applyBorder="1" applyAlignment="1">
      <alignment horizontal="center" vertical="center"/>
    </xf>
    <xf numFmtId="0" fontId="5" fillId="4" borderId="1" xfId="3" applyFont="1" applyFill="1" applyBorder="1" applyAlignment="1">
      <alignment horizontal="center" vertical="center"/>
    </xf>
    <xf numFmtId="0" fontId="4" fillId="4" borderId="2" xfId="3" applyFont="1" applyFill="1" applyBorder="1" applyAlignment="1">
      <alignment horizontal="center" vertical="center" wrapText="1"/>
    </xf>
    <xf numFmtId="0" fontId="4" fillId="4" borderId="3" xfId="3" applyFont="1" applyFill="1" applyBorder="1" applyAlignment="1">
      <alignment horizontal="center" vertical="center" wrapText="1"/>
    </xf>
    <xf numFmtId="0" fontId="4" fillId="4" borderId="4" xfId="3" applyFont="1" applyFill="1" applyBorder="1" applyAlignment="1">
      <alignment horizontal="center" vertical="center" wrapText="1"/>
    </xf>
    <xf numFmtId="0" fontId="6" fillId="7" borderId="5" xfId="3" applyFont="1" applyFill="1" applyBorder="1" applyAlignment="1">
      <alignment horizontal="center" vertical="center"/>
    </xf>
    <xf numFmtId="0" fontId="6" fillId="6" borderId="1" xfId="3" applyFont="1" applyFill="1" applyBorder="1" applyAlignment="1">
      <alignment horizontal="center" vertical="center"/>
    </xf>
    <xf numFmtId="0" fontId="6" fillId="4" borderId="1" xfId="3" applyFont="1" applyFill="1" applyBorder="1" applyAlignment="1">
      <alignment horizontal="center" vertical="center"/>
    </xf>
    <xf numFmtId="0" fontId="7" fillId="4" borderId="6" xfId="3" applyFont="1" applyFill="1" applyBorder="1" applyAlignment="1">
      <alignment horizontal="center" vertical="center"/>
    </xf>
    <xf numFmtId="0" fontId="4" fillId="4" borderId="7" xfId="3" applyFont="1" applyFill="1" applyBorder="1" applyAlignment="1">
      <alignment horizontal="center" vertical="center" wrapText="1"/>
    </xf>
    <xf numFmtId="0" fontId="8" fillId="0" borderId="0" xfId="3" applyFont="1" applyFill="1"/>
    <xf numFmtId="0" fontId="9" fillId="0" borderId="8" xfId="3" applyFont="1" applyBorder="1"/>
    <xf numFmtId="43" fontId="10" fillId="0" borderId="8" xfId="4" applyFont="1" applyFill="1" applyBorder="1" applyAlignment="1" applyProtection="1">
      <alignment horizontal="center" vertical="center"/>
    </xf>
    <xf numFmtId="0" fontId="10" fillId="0" borderId="8" xfId="3" applyFont="1" applyFill="1" applyBorder="1" applyAlignment="1" applyProtection="1">
      <alignment horizontal="center" vertical="center"/>
    </xf>
    <xf numFmtId="3" fontId="8" fillId="0" borderId="0" xfId="3" applyNumberFormat="1" applyFont="1"/>
    <xf numFmtId="9" fontId="8" fillId="0" borderId="0" xfId="2" applyFont="1"/>
    <xf numFmtId="164" fontId="8" fillId="0" borderId="0" xfId="1" applyNumberFormat="1" applyFont="1"/>
    <xf numFmtId="0" fontId="8" fillId="0" borderId="0" xfId="3" applyFont="1"/>
    <xf numFmtId="0" fontId="8" fillId="8" borderId="8" xfId="3" applyFont="1" applyFill="1" applyBorder="1"/>
    <xf numFmtId="0" fontId="8" fillId="8" borderId="8" xfId="3" applyFont="1" applyFill="1" applyBorder="1" applyAlignment="1">
      <alignment horizontal="center"/>
    </xf>
    <xf numFmtId="0" fontId="12" fillId="8" borderId="8" xfId="3" applyFont="1" applyFill="1" applyBorder="1"/>
    <xf numFmtId="0" fontId="13" fillId="8" borderId="8" xfId="3" applyFont="1" applyFill="1" applyBorder="1"/>
    <xf numFmtId="0" fontId="12" fillId="8" borderId="9" xfId="3" applyFont="1" applyFill="1" applyBorder="1"/>
    <xf numFmtId="164" fontId="8" fillId="9" borderId="8" xfId="4" applyNumberFormat="1" applyFont="1" applyFill="1" applyBorder="1"/>
    <xf numFmtId="164" fontId="7" fillId="9" borderId="8" xfId="3" applyNumberFormat="1" applyFont="1" applyFill="1" applyBorder="1"/>
    <xf numFmtId="164" fontId="8" fillId="9" borderId="8" xfId="3" applyNumberFormat="1" applyFont="1" applyFill="1" applyBorder="1"/>
    <xf numFmtId="164" fontId="14" fillId="9" borderId="8" xfId="3" applyNumberFormat="1" applyFont="1" applyFill="1" applyBorder="1" applyAlignment="1">
      <alignment vertical="center"/>
    </xf>
    <xf numFmtId="165" fontId="8" fillId="9" borderId="8" xfId="5" applyNumberFormat="1" applyFont="1" applyFill="1" applyBorder="1" applyAlignment="1">
      <alignment horizontal="center" vertical="center"/>
    </xf>
    <xf numFmtId="164" fontId="15" fillId="9" borderId="8" xfId="3" applyNumberFormat="1" applyFont="1" applyFill="1" applyBorder="1"/>
    <xf numFmtId="164" fontId="8" fillId="0" borderId="0" xfId="3" applyNumberFormat="1" applyFont="1" applyFill="1"/>
    <xf numFmtId="0" fontId="16" fillId="0" borderId="8" xfId="3" applyFont="1" applyFill="1" applyBorder="1" applyAlignment="1">
      <alignment horizontal="center" vertical="center"/>
    </xf>
    <xf numFmtId="43" fontId="9" fillId="0" borderId="0" xfId="4" applyFont="1"/>
    <xf numFmtId="0" fontId="9" fillId="0" borderId="0" xfId="3" applyFont="1"/>
    <xf numFmtId="0" fontId="10" fillId="0" borderId="12" xfId="3" applyFont="1" applyFill="1" applyBorder="1" applyAlignment="1">
      <alignment horizontal="center" vertical="center"/>
    </xf>
    <xf numFmtId="0" fontId="16" fillId="10" borderId="8" xfId="3" applyFont="1" applyFill="1" applyBorder="1" applyAlignment="1" applyProtection="1">
      <alignment vertical="center"/>
    </xf>
    <xf numFmtId="43" fontId="10" fillId="10" borderId="8" xfId="4" applyFont="1" applyFill="1" applyBorder="1" applyAlignment="1" applyProtection="1">
      <alignment vertical="center"/>
    </xf>
    <xf numFmtId="4" fontId="10" fillId="10" borderId="9" xfId="3" applyNumberFormat="1" applyFont="1" applyFill="1" applyBorder="1" applyAlignment="1" applyProtection="1">
      <alignment vertical="center"/>
    </xf>
    <xf numFmtId="3" fontId="18" fillId="10" borderId="8" xfId="3" applyNumberFormat="1" applyFont="1" applyFill="1" applyBorder="1"/>
    <xf numFmtId="3" fontId="11" fillId="0" borderId="8" xfId="3" applyNumberFormat="1" applyFont="1" applyFill="1" applyBorder="1"/>
    <xf numFmtId="3" fontId="9" fillId="0" borderId="8" xfId="3" applyNumberFormat="1" applyFont="1" applyFill="1" applyBorder="1"/>
    <xf numFmtId="164" fontId="11" fillId="0" borderId="8" xfId="3" applyNumberFormat="1" applyFont="1" applyFill="1" applyBorder="1"/>
    <xf numFmtId="0" fontId="10" fillId="10" borderId="8" xfId="3" quotePrefix="1" applyFont="1" applyFill="1" applyBorder="1" applyAlignment="1" applyProtection="1">
      <alignment horizontal="left" vertical="center"/>
    </xf>
    <xf numFmtId="4" fontId="10" fillId="10" borderId="8" xfId="3" applyNumberFormat="1" applyFont="1" applyFill="1" applyBorder="1" applyAlignment="1" applyProtection="1">
      <alignment vertical="center"/>
    </xf>
    <xf numFmtId="3" fontId="11" fillId="10" borderId="8" xfId="3" applyNumberFormat="1" applyFont="1" applyFill="1" applyBorder="1"/>
    <xf numFmtId="3" fontId="20" fillId="0" borderId="8" xfId="3" applyNumberFormat="1" applyFont="1" applyFill="1" applyBorder="1"/>
    <xf numFmtId="164" fontId="15" fillId="9" borderId="8" xfId="3" quotePrefix="1" applyNumberFormat="1" applyFont="1" applyFill="1" applyBorder="1"/>
    <xf numFmtId="43" fontId="8" fillId="0" borderId="0" xfId="4" applyFont="1"/>
    <xf numFmtId="43" fontId="8" fillId="0" borderId="0" xfId="3" applyNumberFormat="1" applyFont="1"/>
    <xf numFmtId="43" fontId="8" fillId="0" borderId="0" xfId="1" applyFont="1"/>
    <xf numFmtId="43" fontId="21" fillId="0" borderId="0" xfId="3" applyNumberFormat="1" applyFont="1"/>
    <xf numFmtId="164" fontId="8" fillId="0" borderId="0" xfId="3" applyNumberFormat="1" applyFont="1"/>
    <xf numFmtId="166" fontId="6" fillId="13" borderId="8" xfId="3" applyNumberFormat="1" applyFont="1" applyFill="1" applyBorder="1" applyAlignment="1" applyProtection="1">
      <alignment horizontal="center" vertical="center" wrapText="1"/>
    </xf>
    <xf numFmtId="0" fontId="22" fillId="14" borderId="8" xfId="3" quotePrefix="1" applyFont="1" applyFill="1" applyBorder="1" applyAlignment="1">
      <alignment horizontal="center"/>
    </xf>
    <xf numFmtId="3" fontId="9" fillId="0" borderId="0" xfId="3" applyNumberFormat="1" applyFont="1"/>
    <xf numFmtId="164" fontId="9" fillId="0" borderId="0" xfId="3" applyNumberFormat="1" applyFont="1"/>
    <xf numFmtId="164" fontId="23" fillId="13" borderId="8" xfId="4" applyNumberFormat="1" applyFont="1" applyFill="1" applyBorder="1" applyAlignment="1" applyProtection="1">
      <alignment vertical="center"/>
    </xf>
    <xf numFmtId="164" fontId="22" fillId="14" borderId="8" xfId="3" applyNumberFormat="1" applyFont="1" applyFill="1" applyBorder="1"/>
    <xf numFmtId="43" fontId="22" fillId="17" borderId="8" xfId="4" applyFont="1" applyFill="1" applyBorder="1"/>
    <xf numFmtId="164" fontId="5" fillId="18" borderId="8" xfId="4" applyNumberFormat="1" applyFont="1" applyFill="1" applyBorder="1" applyAlignment="1">
      <alignment horizontal="center" vertical="center"/>
    </xf>
    <xf numFmtId="164" fontId="8" fillId="0" borderId="0" xfId="3" applyNumberFormat="1" applyFont="1" applyAlignment="1">
      <alignment horizontal="right"/>
    </xf>
    <xf numFmtId="3" fontId="12" fillId="13" borderId="8" xfId="3" applyNumberFormat="1" applyFont="1" applyFill="1" applyBorder="1" applyAlignment="1" applyProtection="1">
      <alignment vertical="center"/>
    </xf>
    <xf numFmtId="43" fontId="9" fillId="0" borderId="0" xfId="1" applyFont="1"/>
    <xf numFmtId="43" fontId="9" fillId="0" borderId="0" xfId="3" applyNumberFormat="1" applyFont="1"/>
    <xf numFmtId="3" fontId="24" fillId="0" borderId="8" xfId="3" applyNumberFormat="1" applyFont="1" applyFill="1" applyBorder="1"/>
    <xf numFmtId="164" fontId="16" fillId="0" borderId="8" xfId="4" applyNumberFormat="1" applyFont="1" applyFill="1" applyBorder="1" applyAlignment="1" applyProtection="1">
      <alignment vertical="center"/>
    </xf>
    <xf numFmtId="3" fontId="9" fillId="0" borderId="0" xfId="3" applyNumberFormat="1" applyFont="1" applyBorder="1"/>
    <xf numFmtId="3" fontId="10" fillId="0" borderId="0" xfId="7" applyNumberFormat="1" applyFont="1"/>
    <xf numFmtId="4" fontId="8" fillId="0" borderId="0" xfId="3" applyNumberFormat="1" applyFont="1"/>
    <xf numFmtId="164" fontId="9" fillId="0" borderId="8" xfId="4" applyNumberFormat="1" applyFont="1" applyBorder="1"/>
    <xf numFmtId="164" fontId="9" fillId="13" borderId="8" xfId="4" applyNumberFormat="1" applyFont="1" applyFill="1" applyBorder="1"/>
    <xf numFmtId="164" fontId="25" fillId="19" borderId="0" xfId="4" applyNumberFormat="1" applyFont="1" applyFill="1" applyBorder="1" applyAlignment="1">
      <alignment horizontal="center"/>
    </xf>
    <xf numFmtId="0" fontId="22" fillId="0" borderId="8" xfId="3" applyFont="1" applyBorder="1"/>
    <xf numFmtId="164" fontId="22" fillId="0" borderId="8" xfId="4" applyNumberFormat="1" applyFont="1" applyBorder="1"/>
    <xf numFmtId="9" fontId="8" fillId="0" borderId="0" xfId="3" applyNumberFormat="1" applyFont="1"/>
    <xf numFmtId="0" fontId="8" fillId="0" borderId="8" xfId="3" quotePrefix="1" applyFont="1" applyBorder="1" applyAlignment="1">
      <alignment horizontal="right" indent="1"/>
    </xf>
    <xf numFmtId="0" fontId="8" fillId="0" borderId="8" xfId="3" applyFont="1" applyBorder="1"/>
    <xf numFmtId="9" fontId="8" fillId="0" borderId="8" xfId="3" applyNumberFormat="1" applyFont="1" applyBorder="1"/>
    <xf numFmtId="1" fontId="8" fillId="0" borderId="0" xfId="3" applyNumberFormat="1" applyFont="1"/>
    <xf numFmtId="0" fontId="22" fillId="0" borderId="0" xfId="3" applyFont="1"/>
    <xf numFmtId="0" fontId="8" fillId="8" borderId="18" xfId="3" applyFont="1" applyFill="1" applyBorder="1"/>
    <xf numFmtId="0" fontId="8" fillId="8" borderId="18" xfId="3" applyFont="1" applyFill="1" applyBorder="1" applyAlignment="1">
      <alignment horizontal="center"/>
    </xf>
    <xf numFmtId="0" fontId="12" fillId="8" borderId="18" xfId="3" applyFont="1" applyFill="1" applyBorder="1"/>
    <xf numFmtId="0" fontId="12" fillId="8" borderId="19" xfId="3" applyFont="1" applyFill="1" applyBorder="1"/>
    <xf numFmtId="164" fontId="14" fillId="9" borderId="18" xfId="3" applyNumberFormat="1" applyFont="1" applyFill="1" applyBorder="1" applyAlignment="1">
      <alignment vertical="center"/>
    </xf>
    <xf numFmtId="165" fontId="8" fillId="9" borderId="18" xfId="5" applyNumberFormat="1" applyFont="1" applyFill="1" applyBorder="1" applyAlignment="1">
      <alignment horizontal="center" vertical="center"/>
    </xf>
    <xf numFmtId="167" fontId="9" fillId="13" borderId="8" xfId="4" applyNumberFormat="1" applyFont="1" applyFill="1" applyBorder="1"/>
    <xf numFmtId="164" fontId="9" fillId="0" borderId="0" xfId="4" applyNumberFormat="1" applyFont="1"/>
    <xf numFmtId="168" fontId="9" fillId="0" borderId="8" xfId="3" applyNumberFormat="1" applyFont="1" applyBorder="1"/>
    <xf numFmtId="0" fontId="8" fillId="15" borderId="21" xfId="3" applyFont="1" applyFill="1" applyBorder="1"/>
    <xf numFmtId="0" fontId="8" fillId="15" borderId="21" xfId="3" applyFont="1" applyFill="1" applyBorder="1" applyAlignment="1">
      <alignment horizontal="center"/>
    </xf>
    <xf numFmtId="0" fontId="12" fillId="15" borderId="21" xfId="3" applyFont="1" applyFill="1" applyBorder="1"/>
    <xf numFmtId="0" fontId="12" fillId="15" borderId="16" xfId="3" applyFont="1" applyFill="1" applyBorder="1"/>
    <xf numFmtId="164" fontId="14" fillId="9" borderId="22" xfId="3" applyNumberFormat="1" applyFont="1" applyFill="1" applyBorder="1" applyAlignment="1">
      <alignment vertical="center"/>
    </xf>
    <xf numFmtId="165" fontId="8" fillId="9" borderId="22" xfId="5" applyNumberFormat="1" applyFont="1" applyFill="1" applyBorder="1" applyAlignment="1">
      <alignment horizontal="center" vertical="center"/>
    </xf>
    <xf numFmtId="164" fontId="15" fillId="9" borderId="21" xfId="3" applyNumberFormat="1" applyFont="1" applyFill="1" applyBorder="1"/>
    <xf numFmtId="0" fontId="8" fillId="15" borderId="8" xfId="3" applyFont="1" applyFill="1" applyBorder="1"/>
    <xf numFmtId="0" fontId="8" fillId="15" borderId="8" xfId="3" applyFont="1" applyFill="1" applyBorder="1" applyAlignment="1">
      <alignment horizontal="center"/>
    </xf>
    <xf numFmtId="0" fontId="12" fillId="15" borderId="8" xfId="3" applyFont="1" applyFill="1" applyBorder="1"/>
    <xf numFmtId="0" fontId="12" fillId="15" borderId="9" xfId="3" applyFont="1" applyFill="1" applyBorder="1"/>
    <xf numFmtId="167" fontId="22" fillId="0" borderId="8" xfId="4" applyNumberFormat="1" applyFont="1" applyBorder="1"/>
    <xf numFmtId="3" fontId="8" fillId="0" borderId="0" xfId="3" applyNumberFormat="1" applyFont="1" applyFill="1" applyBorder="1"/>
    <xf numFmtId="165" fontId="9" fillId="0" borderId="0" xfId="5" applyNumberFormat="1" applyFont="1"/>
    <xf numFmtId="164" fontId="11" fillId="7" borderId="8" xfId="3" applyNumberFormat="1" applyFont="1" applyFill="1" applyBorder="1" applyAlignment="1">
      <alignment wrapText="1"/>
    </xf>
    <xf numFmtId="164" fontId="26" fillId="14" borderId="8" xfId="3" applyNumberFormat="1" applyFont="1" applyFill="1" applyBorder="1" applyAlignment="1">
      <alignment horizontal="center" wrapText="1"/>
    </xf>
    <xf numFmtId="3" fontId="22" fillId="0" borderId="0" xfId="3" applyNumberFormat="1" applyFont="1"/>
    <xf numFmtId="164" fontId="26" fillId="0" borderId="8" xfId="3" applyNumberFormat="1" applyFont="1" applyFill="1" applyBorder="1" applyAlignment="1">
      <alignment horizontal="center" wrapText="1"/>
    </xf>
    <xf numFmtId="0" fontId="8" fillId="0" borderId="8" xfId="3" applyFont="1" applyBorder="1" applyAlignment="1">
      <alignment horizontal="center"/>
    </xf>
    <xf numFmtId="0" fontId="9" fillId="0" borderId="0" xfId="3" applyFont="1" applyFill="1" applyBorder="1" applyAlignment="1">
      <alignment horizontal="center" vertical="center"/>
    </xf>
    <xf numFmtId="0" fontId="9" fillId="0" borderId="0" xfId="3" quotePrefix="1" applyFont="1" applyFill="1" applyBorder="1" applyAlignment="1">
      <alignment horizontal="left" vertical="center"/>
    </xf>
    <xf numFmtId="164" fontId="11" fillId="20" borderId="8" xfId="3" applyNumberFormat="1" applyFont="1" applyFill="1" applyBorder="1" applyAlignment="1">
      <alignment wrapText="1"/>
    </xf>
    <xf numFmtId="164" fontId="11" fillId="0" borderId="8" xfId="3" applyNumberFormat="1" applyFont="1" applyFill="1" applyBorder="1" applyAlignment="1">
      <alignment wrapText="1"/>
    </xf>
    <xf numFmtId="164" fontId="11" fillId="0" borderId="8" xfId="1" applyNumberFormat="1" applyFont="1" applyFill="1" applyBorder="1" applyAlignment="1">
      <alignment wrapText="1"/>
    </xf>
    <xf numFmtId="164" fontId="26" fillId="0" borderId="0" xfId="3" applyNumberFormat="1" applyFont="1" applyFill="1" applyBorder="1" applyAlignment="1">
      <alignment wrapText="1"/>
    </xf>
    <xf numFmtId="0" fontId="8" fillId="0" borderId="0" xfId="3" applyFont="1" applyFill="1" applyBorder="1"/>
    <xf numFmtId="164" fontId="11" fillId="0" borderId="8" xfId="3" applyNumberFormat="1" applyFont="1" applyFill="1" applyBorder="1" applyAlignment="1">
      <alignment horizontal="center" wrapText="1"/>
    </xf>
    <xf numFmtId="164" fontId="11" fillId="0" borderId="0" xfId="3" applyNumberFormat="1" applyFont="1" applyFill="1" applyBorder="1" applyAlignment="1">
      <alignment wrapText="1"/>
    </xf>
    <xf numFmtId="164" fontId="8" fillId="0" borderId="0" xfId="3" applyNumberFormat="1" applyFont="1" applyFill="1" applyBorder="1"/>
    <xf numFmtId="43" fontId="9" fillId="0" borderId="0" xfId="1" quotePrefix="1" applyFont="1" applyFill="1" applyBorder="1" applyAlignment="1">
      <alignment horizontal="left" vertical="center"/>
    </xf>
    <xf numFmtId="43" fontId="8" fillId="0" borderId="0" xfId="3" applyNumberFormat="1" applyFont="1" applyFill="1" applyBorder="1"/>
    <xf numFmtId="164" fontId="9" fillId="0" borderId="8" xfId="1" applyNumberFormat="1" applyFont="1" applyFill="1" applyBorder="1"/>
    <xf numFmtId="164" fontId="11" fillId="0" borderId="0" xfId="3" applyNumberFormat="1" applyFont="1" applyAlignment="1">
      <alignment wrapText="1"/>
    </xf>
    <xf numFmtId="43" fontId="9" fillId="0" borderId="0" xfId="1" quotePrefix="1" applyFont="1" applyFill="1" applyBorder="1" applyAlignment="1">
      <alignment horizontal="right" vertical="center"/>
    </xf>
    <xf numFmtId="0" fontId="22" fillId="21" borderId="8" xfId="3" applyFont="1" applyFill="1" applyBorder="1" applyAlignment="1">
      <alignment horizontal="center"/>
    </xf>
    <xf numFmtId="43" fontId="22" fillId="21" borderId="8" xfId="4" applyFont="1" applyFill="1" applyBorder="1" applyAlignment="1">
      <alignment horizontal="center"/>
    </xf>
    <xf numFmtId="164" fontId="22" fillId="21" borderId="8" xfId="3" applyNumberFormat="1" applyFont="1" applyFill="1" applyBorder="1" applyAlignment="1">
      <alignment horizontal="center"/>
    </xf>
    <xf numFmtId="43" fontId="8" fillId="0" borderId="0" xfId="1" applyFont="1" applyAlignment="1">
      <alignment horizontal="right"/>
    </xf>
    <xf numFmtId="164" fontId="9" fillId="0" borderId="8" xfId="3" applyNumberFormat="1" applyFont="1" applyBorder="1"/>
    <xf numFmtId="164" fontId="22" fillId="0" borderId="8" xfId="3" applyNumberFormat="1" applyFont="1" applyBorder="1"/>
    <xf numFmtId="0" fontId="22" fillId="17" borderId="8" xfId="3" applyFont="1" applyFill="1" applyBorder="1"/>
    <xf numFmtId="164" fontId="22" fillId="17" borderId="8" xfId="4" applyNumberFormat="1" applyFont="1" applyFill="1" applyBorder="1"/>
    <xf numFmtId="164" fontId="22" fillId="17" borderId="8" xfId="3" applyNumberFormat="1" applyFont="1" applyFill="1" applyBorder="1"/>
    <xf numFmtId="0" fontId="22" fillId="0" borderId="8" xfId="3" applyFont="1" applyFill="1" applyBorder="1"/>
    <xf numFmtId="164" fontId="22" fillId="0" borderId="8" xfId="4" applyNumberFormat="1" applyFont="1" applyFill="1" applyBorder="1"/>
    <xf numFmtId="164" fontId="14" fillId="9" borderId="12" xfId="3" applyNumberFormat="1" applyFont="1" applyFill="1" applyBorder="1" applyAlignment="1">
      <alignment vertical="center"/>
    </xf>
    <xf numFmtId="165" fontId="8" fillId="9" borderId="12" xfId="5" applyNumberFormat="1" applyFont="1" applyFill="1" applyBorder="1" applyAlignment="1">
      <alignment horizontal="center" vertical="center"/>
    </xf>
    <xf numFmtId="164" fontId="15" fillId="9" borderId="12" xfId="3" applyNumberFormat="1" applyFont="1" applyFill="1" applyBorder="1"/>
    <xf numFmtId="0" fontId="8" fillId="15" borderId="18" xfId="3" applyFont="1" applyFill="1" applyBorder="1"/>
    <xf numFmtId="0" fontId="8" fillId="15" borderId="18" xfId="3" applyFont="1" applyFill="1" applyBorder="1" applyAlignment="1">
      <alignment horizontal="center"/>
    </xf>
    <xf numFmtId="0" fontId="12" fillId="15" borderId="18" xfId="3" applyFont="1" applyFill="1" applyBorder="1"/>
    <xf numFmtId="0" fontId="12" fillId="15" borderId="19" xfId="3" applyFont="1" applyFill="1" applyBorder="1"/>
    <xf numFmtId="164" fontId="8" fillId="9" borderId="18" xfId="4" applyNumberFormat="1" applyFont="1" applyFill="1" applyBorder="1"/>
    <xf numFmtId="164" fontId="15" fillId="9" borderId="18" xfId="3" applyNumberFormat="1" applyFont="1" applyFill="1" applyBorder="1"/>
    <xf numFmtId="164" fontId="9" fillId="0" borderId="0" xfId="3" applyNumberFormat="1" applyFont="1" applyBorder="1"/>
    <xf numFmtId="3" fontId="9" fillId="0" borderId="0" xfId="3" applyNumberFormat="1" applyFont="1" applyBorder="1" applyAlignment="1">
      <alignment horizontal="center"/>
    </xf>
    <xf numFmtId="0" fontId="9" fillId="0" borderId="0" xfId="3" applyFont="1" applyFill="1"/>
    <xf numFmtId="164" fontId="14" fillId="9" borderId="13" xfId="3" applyNumberFormat="1" applyFont="1" applyFill="1" applyBorder="1" applyAlignment="1">
      <alignment vertical="center"/>
    </xf>
    <xf numFmtId="0" fontId="9" fillId="22" borderId="0" xfId="3" applyFont="1" applyFill="1"/>
    <xf numFmtId="164" fontId="11" fillId="13" borderId="8" xfId="3" applyNumberFormat="1" applyFont="1" applyFill="1" applyBorder="1" applyAlignment="1">
      <alignment wrapText="1"/>
    </xf>
    <xf numFmtId="3" fontId="27" fillId="19" borderId="0" xfId="3" applyNumberFormat="1" applyFont="1" applyFill="1" applyBorder="1" applyAlignment="1">
      <alignment horizontal="center"/>
    </xf>
    <xf numFmtId="164" fontId="9" fillId="0" borderId="0" xfId="3" applyNumberFormat="1" applyFont="1" applyFill="1"/>
    <xf numFmtId="169" fontId="8" fillId="0" borderId="0" xfId="3" applyNumberFormat="1" applyFont="1" applyFill="1"/>
    <xf numFmtId="0" fontId="8" fillId="5" borderId="21" xfId="3" applyFont="1" applyFill="1" applyBorder="1"/>
    <xf numFmtId="0" fontId="8" fillId="5" borderId="21" xfId="3" applyFont="1" applyFill="1" applyBorder="1" applyAlignment="1">
      <alignment horizontal="center"/>
    </xf>
    <xf numFmtId="0" fontId="12" fillId="5" borderId="21" xfId="3" applyFont="1" applyFill="1" applyBorder="1"/>
    <xf numFmtId="164" fontId="15" fillId="9" borderId="22" xfId="3" applyNumberFormat="1" applyFont="1" applyFill="1" applyBorder="1"/>
    <xf numFmtId="0" fontId="8" fillId="0" borderId="24" xfId="3" applyFont="1" applyBorder="1"/>
    <xf numFmtId="164" fontId="8" fillId="0" borderId="24" xfId="4" applyNumberFormat="1" applyFont="1" applyBorder="1"/>
    <xf numFmtId="164" fontId="8" fillId="0" borderId="24" xfId="3" applyNumberFormat="1" applyFont="1" applyBorder="1"/>
    <xf numFmtId="164" fontId="21" fillId="0" borderId="24" xfId="3" applyNumberFormat="1" applyFont="1" applyFill="1" applyBorder="1" applyAlignment="1">
      <alignment wrapText="1"/>
    </xf>
    <xf numFmtId="0" fontId="8" fillId="5" borderId="18" xfId="3" applyFont="1" applyFill="1" applyBorder="1"/>
    <xf numFmtId="0" fontId="8" fillId="5" borderId="18" xfId="3" applyFont="1" applyFill="1" applyBorder="1" applyAlignment="1">
      <alignment horizontal="center"/>
    </xf>
    <xf numFmtId="0" fontId="12" fillId="5" borderId="18" xfId="3" applyFont="1" applyFill="1" applyBorder="1"/>
    <xf numFmtId="0" fontId="12" fillId="5" borderId="19" xfId="3" applyFont="1" applyFill="1" applyBorder="1"/>
    <xf numFmtId="0" fontId="8" fillId="23" borderId="21" xfId="3" applyFont="1" applyFill="1" applyBorder="1"/>
    <xf numFmtId="0" fontId="8" fillId="23" borderId="21" xfId="3" applyFont="1" applyFill="1" applyBorder="1" applyAlignment="1">
      <alignment horizontal="center"/>
    </xf>
    <xf numFmtId="0" fontId="28" fillId="23" borderId="21" xfId="3" applyFont="1" applyFill="1" applyBorder="1"/>
    <xf numFmtId="0" fontId="8" fillId="23" borderId="16" xfId="3" applyFont="1" applyFill="1" applyBorder="1"/>
    <xf numFmtId="164" fontId="29" fillId="9" borderId="21" xfId="4" applyNumberFormat="1" applyFont="1" applyFill="1" applyBorder="1"/>
    <xf numFmtId="164" fontId="15" fillId="9" borderId="13" xfId="3" applyNumberFormat="1" applyFont="1" applyFill="1" applyBorder="1" applyAlignment="1">
      <alignment vertical="center"/>
    </xf>
    <xf numFmtId="164" fontId="15" fillId="9" borderId="22" xfId="3" applyNumberFormat="1" applyFont="1" applyFill="1" applyBorder="1" applyAlignment="1">
      <alignment vertical="center"/>
    </xf>
    <xf numFmtId="0" fontId="26" fillId="4" borderId="30" xfId="3" applyFont="1" applyFill="1" applyBorder="1" applyAlignment="1">
      <alignment horizontal="center" vertical="center"/>
    </xf>
    <xf numFmtId="43" fontId="26" fillId="4" borderId="8" xfId="4" applyFont="1" applyFill="1" applyBorder="1" applyAlignment="1">
      <alignment horizontal="center" vertical="center"/>
    </xf>
    <xf numFmtId="0" fontId="26" fillId="4" borderId="8" xfId="3" applyFont="1" applyFill="1" applyBorder="1" applyAlignment="1">
      <alignment horizontal="center" vertical="center"/>
    </xf>
    <xf numFmtId="0" fontId="26" fillId="4" borderId="8" xfId="3" applyFont="1" applyFill="1" applyBorder="1" applyAlignment="1">
      <alignment horizontal="center" vertical="center" wrapText="1"/>
    </xf>
    <xf numFmtId="0" fontId="16" fillId="4" borderId="8" xfId="3" applyFont="1" applyFill="1" applyBorder="1" applyAlignment="1">
      <alignment horizontal="center" vertical="center"/>
    </xf>
    <xf numFmtId="0" fontId="16" fillId="4" borderId="31" xfId="3" applyFont="1" applyFill="1" applyBorder="1" applyAlignment="1">
      <alignment horizontal="center" vertical="center"/>
    </xf>
    <xf numFmtId="164" fontId="15" fillId="9" borderId="21" xfId="3" applyNumberFormat="1" applyFont="1" applyFill="1" applyBorder="1" applyAlignment="1">
      <alignment vertical="center"/>
    </xf>
    <xf numFmtId="0" fontId="9" fillId="0" borderId="30" xfId="3" applyFont="1" applyFill="1" applyBorder="1"/>
    <xf numFmtId="164" fontId="9" fillId="0" borderId="8" xfId="4" applyNumberFormat="1" applyFont="1" applyFill="1" applyBorder="1"/>
    <xf numFmtId="164" fontId="10" fillId="0" borderId="8" xfId="4" applyNumberFormat="1" applyFont="1" applyFill="1" applyBorder="1"/>
    <xf numFmtId="164" fontId="9" fillId="0" borderId="31" xfId="4" applyNumberFormat="1" applyFont="1" applyFill="1" applyBorder="1"/>
    <xf numFmtId="165" fontId="8" fillId="9" borderId="21" xfId="5" applyNumberFormat="1" applyFont="1" applyFill="1" applyBorder="1" applyAlignment="1">
      <alignment horizontal="center" vertical="center"/>
    </xf>
    <xf numFmtId="43" fontId="8" fillId="0" borderId="0" xfId="3" applyNumberFormat="1" applyFont="1" applyFill="1"/>
    <xf numFmtId="0" fontId="8" fillId="23" borderId="8" xfId="3" applyFont="1" applyFill="1" applyBorder="1"/>
    <xf numFmtId="0" fontId="8" fillId="23" borderId="8" xfId="3" applyFont="1" applyFill="1" applyBorder="1" applyAlignment="1">
      <alignment horizontal="center"/>
    </xf>
    <xf numFmtId="0" fontId="28" fillId="23" borderId="8" xfId="3" applyFont="1" applyFill="1" applyBorder="1"/>
    <xf numFmtId="0" fontId="8" fillId="23" borderId="9" xfId="3" applyFont="1" applyFill="1" applyBorder="1"/>
    <xf numFmtId="164" fontId="29" fillId="9" borderId="8" xfId="4" applyNumberFormat="1" applyFont="1" applyFill="1" applyBorder="1"/>
    <xf numFmtId="164" fontId="9" fillId="0" borderId="9" xfId="4" applyNumberFormat="1" applyFont="1" applyFill="1" applyBorder="1"/>
    <xf numFmtId="164" fontId="8" fillId="0" borderId="0" xfId="4" applyNumberFormat="1" applyFont="1" applyFill="1" applyBorder="1"/>
    <xf numFmtId="0" fontId="26" fillId="4" borderId="30" xfId="9" quotePrefix="1" applyFont="1" applyFill="1" applyBorder="1" applyAlignment="1">
      <alignment horizontal="left"/>
    </xf>
    <xf numFmtId="164" fontId="26" fillId="4" borderId="8" xfId="4" applyNumberFormat="1" applyFont="1" applyFill="1" applyBorder="1"/>
    <xf numFmtId="164" fontId="26" fillId="4" borderId="31" xfId="4" applyNumberFormat="1" applyFont="1" applyFill="1" applyBorder="1"/>
    <xf numFmtId="0" fontId="8" fillId="0" borderId="0" xfId="3" applyFont="1" applyBorder="1"/>
    <xf numFmtId="0" fontId="12" fillId="23" borderId="8" xfId="3" applyFont="1" applyFill="1" applyBorder="1"/>
    <xf numFmtId="0" fontId="12" fillId="23" borderId="9" xfId="3" applyFont="1" applyFill="1" applyBorder="1" applyAlignment="1">
      <alignment horizontal="left"/>
    </xf>
    <xf numFmtId="0" fontId="16" fillId="4" borderId="32" xfId="3" applyFont="1" applyFill="1" applyBorder="1" applyAlignment="1">
      <alignment horizontal="left"/>
    </xf>
    <xf numFmtId="164" fontId="22" fillId="4" borderId="18" xfId="4" applyNumberFormat="1" applyFont="1" applyFill="1" applyBorder="1"/>
    <xf numFmtId="164" fontId="22" fillId="4" borderId="33" xfId="4" applyNumberFormat="1" applyFont="1" applyFill="1" applyBorder="1"/>
    <xf numFmtId="0" fontId="12" fillId="23" borderId="8" xfId="3" applyFont="1" applyFill="1" applyBorder="1" applyAlignment="1">
      <alignment horizontal="left"/>
    </xf>
    <xf numFmtId="164" fontId="10" fillId="0" borderId="37" xfId="6" applyNumberFormat="1" applyFont="1" applyFill="1" applyBorder="1" applyAlignment="1">
      <alignment horizontal="center"/>
    </xf>
    <xf numFmtId="3" fontId="9" fillId="0" borderId="37" xfId="3" applyNumberFormat="1" applyFont="1" applyFill="1" applyBorder="1"/>
    <xf numFmtId="3" fontId="9" fillId="0" borderId="38" xfId="3" applyNumberFormat="1" applyFont="1" applyFill="1" applyBorder="1"/>
    <xf numFmtId="0" fontId="12" fillId="0" borderId="0" xfId="3" quotePrefix="1" applyFont="1" applyFill="1" applyBorder="1" applyAlignment="1">
      <alignment horizontal="left"/>
    </xf>
    <xf numFmtId="164" fontId="9" fillId="0" borderId="37" xfId="4" applyNumberFormat="1" applyFont="1" applyBorder="1"/>
    <xf numFmtId="3" fontId="9" fillId="0" borderId="10" xfId="3" applyNumberFormat="1" applyFont="1" applyFill="1" applyBorder="1"/>
    <xf numFmtId="3" fontId="9" fillId="0" borderId="40" xfId="3" applyNumberFormat="1" applyFont="1" applyFill="1" applyBorder="1"/>
    <xf numFmtId="0" fontId="12" fillId="23" borderId="9" xfId="3" applyFont="1" applyFill="1" applyBorder="1"/>
    <xf numFmtId="164" fontId="8" fillId="22" borderId="0" xfId="8" applyNumberFormat="1" applyFont="1" applyFill="1"/>
    <xf numFmtId="164" fontId="9" fillId="22" borderId="0" xfId="3" applyNumberFormat="1" applyFont="1" applyFill="1"/>
    <xf numFmtId="0" fontId="8" fillId="22" borderId="0" xfId="3" applyFont="1" applyFill="1"/>
    <xf numFmtId="0" fontId="32" fillId="0" borderId="8" xfId="3" applyFont="1" applyFill="1" applyBorder="1" applyAlignment="1">
      <alignment horizontal="center"/>
    </xf>
    <xf numFmtId="166" fontId="32" fillId="24" borderId="8" xfId="3" applyNumberFormat="1" applyFont="1" applyFill="1" applyBorder="1" applyAlignment="1">
      <alignment horizontal="center"/>
    </xf>
    <xf numFmtId="4" fontId="32" fillId="25" borderId="8" xfId="1" quotePrefix="1" applyNumberFormat="1" applyFont="1" applyFill="1" applyBorder="1" applyAlignment="1">
      <alignment horizontal="right" vertical="center"/>
    </xf>
    <xf numFmtId="171" fontId="32" fillId="0" borderId="0" xfId="3" applyNumberFormat="1" applyFont="1" applyFill="1" applyBorder="1" applyAlignment="1">
      <alignment horizontal="center"/>
    </xf>
    <xf numFmtId="0" fontId="32" fillId="22" borderId="0" xfId="3" applyFont="1" applyFill="1"/>
    <xf numFmtId="2" fontId="32" fillId="25" borderId="8" xfId="3" applyNumberFormat="1" applyFont="1" applyFill="1" applyBorder="1" applyAlignment="1">
      <alignment vertical="center"/>
    </xf>
    <xf numFmtId="0" fontId="32" fillId="22" borderId="0" xfId="3" applyFont="1" applyFill="1" applyBorder="1" applyAlignment="1">
      <alignment horizontal="center"/>
    </xf>
    <xf numFmtId="0" fontId="32" fillId="22" borderId="0" xfId="3" applyFont="1" applyFill="1" applyBorder="1"/>
    <xf numFmtId="0" fontId="34" fillId="9" borderId="8" xfId="3" applyFont="1" applyFill="1" applyBorder="1" applyAlignment="1">
      <alignment horizontal="center" vertical="center"/>
    </xf>
    <xf numFmtId="0" fontId="34" fillId="9" borderId="8" xfId="3" applyFont="1" applyFill="1" applyBorder="1" applyAlignment="1">
      <alignment horizontal="center" vertical="center" wrapText="1"/>
    </xf>
    <xf numFmtId="164" fontId="32" fillId="24" borderId="8" xfId="4" applyNumberFormat="1" applyFont="1" applyFill="1" applyBorder="1" applyAlignment="1">
      <alignment horizontal="center"/>
    </xf>
    <xf numFmtId="164" fontId="32" fillId="26" borderId="8" xfId="4" applyNumberFormat="1" applyFont="1" applyFill="1" applyBorder="1" applyAlignment="1">
      <alignment horizontal="center"/>
    </xf>
    <xf numFmtId="164" fontId="32" fillId="16" borderId="8" xfId="4" applyNumberFormat="1" applyFont="1" applyFill="1" applyBorder="1" applyAlignment="1">
      <alignment horizontal="center"/>
    </xf>
    <xf numFmtId="164" fontId="32" fillId="0" borderId="8" xfId="3" applyNumberFormat="1" applyFont="1" applyBorder="1"/>
    <xf numFmtId="0" fontId="35" fillId="0" borderId="8" xfId="3" applyFont="1" applyFill="1" applyBorder="1" applyAlignment="1">
      <alignment horizontal="center"/>
    </xf>
    <xf numFmtId="164" fontId="35" fillId="0" borderId="8" xfId="4" applyNumberFormat="1" applyFont="1" applyFill="1" applyBorder="1" applyAlignment="1">
      <alignment horizontal="center"/>
    </xf>
    <xf numFmtId="164" fontId="36" fillId="0" borderId="8" xfId="4" applyNumberFormat="1" applyFont="1" applyFill="1" applyBorder="1" applyAlignment="1">
      <alignment horizontal="center"/>
    </xf>
    <xf numFmtId="43" fontId="4" fillId="25" borderId="8" xfId="3" applyNumberFormat="1" applyFont="1" applyFill="1" applyBorder="1"/>
    <xf numFmtId="43" fontId="8" fillId="22" borderId="0" xfId="4" applyFont="1" applyFill="1"/>
    <xf numFmtId="164" fontId="8" fillId="22" borderId="0" xfId="3" applyNumberFormat="1" applyFont="1" applyFill="1"/>
    <xf numFmtId="164" fontId="14" fillId="9" borderId="21" xfId="3" applyNumberFormat="1" applyFont="1" applyFill="1" applyBorder="1" applyAlignment="1">
      <alignment vertical="center"/>
    </xf>
    <xf numFmtId="0" fontId="8" fillId="7" borderId="8" xfId="3" applyFont="1" applyFill="1" applyBorder="1"/>
    <xf numFmtId="164" fontId="8" fillId="0" borderId="8" xfId="1" applyNumberFormat="1" applyFont="1" applyBorder="1"/>
    <xf numFmtId="0" fontId="8" fillId="9" borderId="8" xfId="5" applyNumberFormat="1" applyFont="1" applyFill="1" applyBorder="1" applyAlignment="1">
      <alignment horizontal="center" vertical="center"/>
    </xf>
    <xf numFmtId="164" fontId="15" fillId="9" borderId="12" xfId="3" applyNumberFormat="1" applyFont="1" applyFill="1" applyBorder="1" applyAlignment="1">
      <alignment vertical="center"/>
    </xf>
    <xf numFmtId="164" fontId="8" fillId="0" borderId="0" xfId="8" applyNumberFormat="1" applyFont="1"/>
    <xf numFmtId="43" fontId="12" fillId="0" borderId="0" xfId="4" quotePrefix="1" applyFont="1" applyFill="1" applyBorder="1" applyAlignment="1">
      <alignment horizontal="left"/>
    </xf>
    <xf numFmtId="0" fontId="4" fillId="27" borderId="8" xfId="3" applyFont="1" applyFill="1" applyBorder="1" applyAlignment="1">
      <alignment horizontal="center"/>
    </xf>
    <xf numFmtId="164" fontId="4" fillId="27" borderId="8" xfId="1" applyNumberFormat="1" applyFont="1" applyFill="1" applyBorder="1"/>
    <xf numFmtId="0" fontId="4" fillId="0" borderId="8" xfId="3" applyFont="1" applyBorder="1" applyAlignment="1">
      <alignment horizontal="center"/>
    </xf>
    <xf numFmtId="164" fontId="4" fillId="0" borderId="8" xfId="1" applyNumberFormat="1" applyFont="1" applyBorder="1"/>
    <xf numFmtId="0" fontId="4" fillId="22" borderId="8" xfId="3" applyFont="1" applyFill="1" applyBorder="1" applyAlignment="1">
      <alignment horizontal="center" vertical="center" wrapText="1"/>
    </xf>
    <xf numFmtId="0" fontId="4" fillId="22" borderId="8" xfId="3" applyFont="1" applyFill="1" applyBorder="1" applyAlignment="1">
      <alignment horizontal="center" vertical="center"/>
    </xf>
    <xf numFmtId="0" fontId="8" fillId="13" borderId="18" xfId="3" applyFont="1" applyFill="1" applyBorder="1"/>
    <xf numFmtId="0" fontId="8" fillId="0" borderId="0" xfId="3" applyFont="1" applyFill="1" applyBorder="1" applyAlignment="1">
      <alignment horizontal="center"/>
    </xf>
    <xf numFmtId="0" fontId="8" fillId="0" borderId="35" xfId="3" applyFont="1" applyFill="1" applyBorder="1" applyAlignment="1">
      <alignment horizontal="right"/>
    </xf>
    <xf numFmtId="0" fontId="28" fillId="0" borderId="26" xfId="3" applyFont="1" applyFill="1" applyBorder="1"/>
    <xf numFmtId="0" fontId="37" fillId="0" borderId="42" xfId="3" applyFont="1" applyFill="1" applyBorder="1" applyAlignment="1">
      <alignment horizontal="right"/>
    </xf>
    <xf numFmtId="164" fontId="19" fillId="0" borderId="43" xfId="3" applyNumberFormat="1" applyFont="1" applyFill="1" applyBorder="1" applyAlignment="1">
      <alignment horizontal="center"/>
    </xf>
    <xf numFmtId="164" fontId="19" fillId="7" borderId="43" xfId="3" applyNumberFormat="1" applyFont="1" applyFill="1" applyBorder="1" applyAlignment="1">
      <alignment horizontal="center"/>
    </xf>
    <xf numFmtId="164" fontId="19" fillId="7" borderId="44" xfId="3" applyNumberFormat="1" applyFont="1" applyFill="1" applyBorder="1"/>
    <xf numFmtId="0" fontId="28" fillId="0" borderId="0" xfId="3" applyFont="1" applyFill="1" applyBorder="1"/>
    <xf numFmtId="0" fontId="38" fillId="0" borderId="0" xfId="3" applyFont="1" applyFill="1" applyBorder="1"/>
    <xf numFmtId="164" fontId="12" fillId="0" borderId="0" xfId="3" applyNumberFormat="1" applyFont="1" applyFill="1" applyBorder="1"/>
    <xf numFmtId="0" fontId="12" fillId="0" borderId="0" xfId="3" applyFont="1" applyFill="1" applyBorder="1"/>
    <xf numFmtId="164" fontId="4" fillId="0" borderId="0" xfId="4" applyNumberFormat="1" applyFont="1" applyFill="1" applyBorder="1" applyAlignment="1">
      <alignment horizontal="center"/>
    </xf>
    <xf numFmtId="43" fontId="12" fillId="0" borderId="0" xfId="3" applyNumberFormat="1" applyFont="1" applyFill="1" applyBorder="1"/>
    <xf numFmtId="0" fontId="8" fillId="0" borderId="8" xfId="3" applyFont="1" applyBorder="1" applyAlignment="1">
      <alignment horizontal="center" vertical="center"/>
    </xf>
    <xf numFmtId="164" fontId="8" fillId="0" borderId="8" xfId="1" applyNumberFormat="1" applyFont="1" applyBorder="1" applyAlignment="1">
      <alignment vertical="center"/>
    </xf>
    <xf numFmtId="0" fontId="4" fillId="0" borderId="8" xfId="3" applyFont="1" applyBorder="1" applyAlignment="1">
      <alignment horizontal="center" vertical="center"/>
    </xf>
    <xf numFmtId="164" fontId="4" fillId="0" borderId="8" xfId="1" applyNumberFormat="1" applyFont="1" applyBorder="1" applyAlignment="1">
      <alignment vertical="center"/>
    </xf>
    <xf numFmtId="164" fontId="4" fillId="0" borderId="0" xfId="3" applyNumberFormat="1" applyFont="1" applyFill="1" applyBorder="1"/>
    <xf numFmtId="0" fontId="8" fillId="0" borderId="0" xfId="3" applyFont="1" applyFill="1" applyBorder="1" applyAlignment="1">
      <alignment vertical="center"/>
    </xf>
    <xf numFmtId="0" fontId="39" fillId="8" borderId="34" xfId="3" applyFont="1" applyFill="1" applyBorder="1" applyAlignment="1">
      <alignment horizontal="center" vertical="center"/>
    </xf>
    <xf numFmtId="164" fontId="23" fillId="8" borderId="45" xfId="3" applyNumberFormat="1" applyFont="1" applyFill="1" applyBorder="1" applyAlignment="1">
      <alignment horizontal="center" vertical="center"/>
    </xf>
    <xf numFmtId="0" fontId="23" fillId="8" borderId="35" xfId="3" applyFont="1" applyFill="1" applyBorder="1" applyAlignment="1">
      <alignment horizontal="center" vertical="center"/>
    </xf>
    <xf numFmtId="0" fontId="23" fillId="8" borderId="45" xfId="3" applyFont="1" applyFill="1" applyBorder="1" applyAlignment="1">
      <alignment horizontal="center" vertical="center"/>
    </xf>
    <xf numFmtId="0" fontId="4" fillId="27" borderId="8" xfId="3" applyFont="1" applyFill="1" applyBorder="1" applyAlignment="1">
      <alignment horizontal="center" vertical="center" wrapText="1"/>
    </xf>
    <xf numFmtId="0" fontId="4" fillId="27" borderId="8" xfId="3" applyFont="1" applyFill="1" applyBorder="1" applyAlignment="1">
      <alignment horizontal="center" vertical="center"/>
    </xf>
    <xf numFmtId="2" fontId="8" fillId="0" borderId="0" xfId="3" applyNumberFormat="1" applyFont="1" applyFill="1" applyBorder="1"/>
    <xf numFmtId="164" fontId="12" fillId="0" borderId="21" xfId="3" applyNumberFormat="1" applyFont="1" applyFill="1" applyBorder="1"/>
    <xf numFmtId="164" fontId="12" fillId="0" borderId="8" xfId="3" applyNumberFormat="1" applyFont="1" applyFill="1" applyBorder="1"/>
    <xf numFmtId="164" fontId="8" fillId="0" borderId="0" xfId="3" applyNumberFormat="1" applyFont="1" applyAlignment="1">
      <alignment horizontal="left"/>
    </xf>
    <xf numFmtId="164" fontId="12" fillId="0" borderId="8" xfId="4" applyNumberFormat="1" applyFont="1" applyFill="1" applyBorder="1"/>
    <xf numFmtId="43" fontId="12" fillId="0" borderId="8" xfId="8" applyNumberFormat="1" applyFont="1" applyFill="1" applyBorder="1"/>
    <xf numFmtId="43" fontId="12" fillId="0" borderId="12" xfId="8" applyNumberFormat="1" applyFont="1" applyFill="1" applyBorder="1"/>
    <xf numFmtId="164" fontId="12" fillId="0" borderId="12" xfId="4" applyNumberFormat="1" applyFont="1" applyFill="1" applyBorder="1"/>
    <xf numFmtId="164" fontId="17" fillId="28" borderId="45" xfId="4" applyNumberFormat="1" applyFont="1" applyFill="1" applyBorder="1" applyAlignment="1">
      <alignment vertical="center"/>
    </xf>
    <xf numFmtId="164" fontId="17" fillId="28" borderId="35" xfId="4" applyNumberFormat="1" applyFont="1" applyFill="1" applyBorder="1" applyAlignment="1">
      <alignment vertical="center"/>
    </xf>
    <xf numFmtId="0" fontId="39" fillId="8" borderId="45" xfId="3" applyFont="1" applyFill="1" applyBorder="1" applyAlignment="1">
      <alignment horizontal="center" vertical="center"/>
    </xf>
    <xf numFmtId="164" fontId="12" fillId="0" borderId="21" xfId="4" applyNumberFormat="1" applyFont="1" applyFill="1" applyBorder="1"/>
    <xf numFmtId="164" fontId="12" fillId="0" borderId="8" xfId="4" applyNumberFormat="1" applyFont="1" applyFill="1" applyBorder="1" applyAlignment="1">
      <alignment vertical="center"/>
    </xf>
    <xf numFmtId="0" fontId="4" fillId="0" borderId="0" xfId="3" applyFont="1" applyFill="1" applyBorder="1"/>
    <xf numFmtId="0" fontId="4" fillId="0" borderId="0" xfId="3" applyFont="1" applyFill="1" applyBorder="1" applyAlignment="1">
      <alignment horizontal="center"/>
    </xf>
    <xf numFmtId="0" fontId="40" fillId="0" borderId="0" xfId="3" applyFont="1" applyFill="1" applyBorder="1"/>
    <xf numFmtId="0" fontId="12" fillId="0" borderId="0" xfId="3" applyFont="1" applyFill="1" applyBorder="1" applyAlignment="1">
      <alignment wrapText="1"/>
    </xf>
    <xf numFmtId="1" fontId="12" fillId="0" borderId="8" xfId="3" applyNumberFormat="1" applyFont="1" applyFill="1" applyBorder="1"/>
    <xf numFmtId="164" fontId="17" fillId="28" borderId="45" xfId="4" applyNumberFormat="1" applyFont="1" applyFill="1" applyBorder="1"/>
    <xf numFmtId="164" fontId="17" fillId="28" borderId="35" xfId="4" applyNumberFormat="1" applyFont="1" applyFill="1" applyBorder="1"/>
    <xf numFmtId="0" fontId="8" fillId="0" borderId="0" xfId="3" applyFont="1" applyAlignment="1">
      <alignment horizontal="center"/>
    </xf>
    <xf numFmtId="0" fontId="28" fillId="0" borderId="0" xfId="3" applyFont="1"/>
    <xf numFmtId="164" fontId="12" fillId="0" borderId="23" xfId="3" applyNumberFormat="1" applyFont="1" applyFill="1" applyBorder="1"/>
    <xf numFmtId="164" fontId="12" fillId="0" borderId="22" xfId="3" applyNumberFormat="1" applyFont="1" applyBorder="1"/>
    <xf numFmtId="164" fontId="12" fillId="0" borderId="11" xfId="3" applyNumberFormat="1" applyFont="1" applyFill="1" applyBorder="1"/>
    <xf numFmtId="164" fontId="12" fillId="0" borderId="8" xfId="8" applyNumberFormat="1" applyFont="1" applyBorder="1"/>
    <xf numFmtId="164" fontId="12" fillId="0" borderId="25" xfId="3" applyNumberFormat="1" applyFont="1" applyFill="1" applyBorder="1"/>
    <xf numFmtId="164" fontId="12" fillId="0" borderId="18" xfId="8" applyNumberFormat="1" applyFont="1" applyBorder="1"/>
    <xf numFmtId="164" fontId="12" fillId="0" borderId="8" xfId="3" applyNumberFormat="1" applyFont="1" applyBorder="1"/>
    <xf numFmtId="164" fontId="12" fillId="0" borderId="18" xfId="3" applyNumberFormat="1" applyFont="1" applyBorder="1"/>
    <xf numFmtId="164" fontId="23" fillId="28" borderId="45" xfId="3" applyNumberFormat="1" applyFont="1" applyFill="1" applyBorder="1" applyAlignment="1">
      <alignment vertical="center"/>
    </xf>
    <xf numFmtId="164" fontId="23" fillId="0" borderId="45" xfId="3" applyNumberFormat="1" applyFont="1" applyBorder="1"/>
    <xf numFmtId="0" fontId="41" fillId="0" borderId="0" xfId="3" applyFont="1"/>
    <xf numFmtId="0" fontId="3" fillId="0" borderId="0" xfId="3"/>
    <xf numFmtId="0" fontId="12" fillId="0" borderId="0" xfId="3" applyFont="1"/>
    <xf numFmtId="0" fontId="40" fillId="8" borderId="8" xfId="3" quotePrefix="1" applyFont="1" applyFill="1" applyBorder="1" applyAlignment="1">
      <alignment horizontal="center"/>
    </xf>
    <xf numFmtId="3" fontId="42" fillId="8" borderId="8" xfId="3" applyNumberFormat="1" applyFont="1" applyFill="1" applyBorder="1"/>
    <xf numFmtId="3" fontId="4" fillId="8" borderId="8" xfId="3" applyNumberFormat="1" applyFont="1" applyFill="1" applyBorder="1"/>
    <xf numFmtId="164" fontId="8" fillId="9" borderId="22" xfId="4" applyNumberFormat="1" applyFont="1" applyFill="1" applyBorder="1"/>
    <xf numFmtId="0" fontId="8" fillId="25" borderId="21" xfId="3" applyFont="1" applyFill="1" applyBorder="1"/>
    <xf numFmtId="0" fontId="8" fillId="25" borderId="21" xfId="3" applyFont="1" applyFill="1" applyBorder="1" applyAlignment="1">
      <alignment horizontal="center"/>
    </xf>
    <xf numFmtId="0" fontId="12" fillId="25" borderId="21" xfId="3" applyFont="1" applyFill="1" applyBorder="1"/>
    <xf numFmtId="0" fontId="12" fillId="25" borderId="16" xfId="3" applyFont="1" applyFill="1" applyBorder="1"/>
    <xf numFmtId="164" fontId="8" fillId="9" borderId="21" xfId="4" applyNumberFormat="1" applyFont="1" applyFill="1" applyBorder="1"/>
    <xf numFmtId="164" fontId="11" fillId="13" borderId="0" xfId="3" applyNumberFormat="1" applyFont="1" applyFill="1" applyBorder="1" applyAlignment="1">
      <alignment wrapText="1"/>
    </xf>
    <xf numFmtId="0" fontId="8" fillId="25" borderId="8" xfId="3" applyFont="1" applyFill="1" applyBorder="1"/>
    <xf numFmtId="0" fontId="8" fillId="25" borderId="8" xfId="3" applyFont="1" applyFill="1" applyBorder="1" applyAlignment="1">
      <alignment horizontal="center"/>
    </xf>
    <xf numFmtId="0" fontId="12" fillId="25" borderId="8" xfId="3" applyFont="1" applyFill="1" applyBorder="1"/>
    <xf numFmtId="0" fontId="12" fillId="25" borderId="9" xfId="3" applyFont="1" applyFill="1" applyBorder="1"/>
    <xf numFmtId="164" fontId="21" fillId="0" borderId="0" xfId="3" applyNumberFormat="1" applyFont="1" applyFill="1" applyAlignment="1">
      <alignment wrapText="1"/>
    </xf>
    <xf numFmtId="0" fontId="12" fillId="25" borderId="9" xfId="3" applyFont="1" applyFill="1" applyBorder="1" applyAlignment="1">
      <alignment horizontal="left"/>
    </xf>
    <xf numFmtId="0" fontId="8" fillId="25" borderId="18" xfId="3" applyFont="1" applyFill="1" applyBorder="1"/>
    <xf numFmtId="0" fontId="8" fillId="25" borderId="18" xfId="3" applyFont="1" applyFill="1" applyBorder="1" applyAlignment="1">
      <alignment horizontal="center"/>
    </xf>
    <xf numFmtId="0" fontId="12" fillId="25" borderId="18" xfId="3" applyFont="1" applyFill="1" applyBorder="1"/>
    <xf numFmtId="0" fontId="12" fillId="25" borderId="19" xfId="3" applyFont="1" applyFill="1" applyBorder="1" applyAlignment="1">
      <alignment horizontal="left"/>
    </xf>
    <xf numFmtId="164" fontId="15" fillId="9" borderId="18" xfId="3" applyNumberFormat="1" applyFont="1" applyFill="1" applyBorder="1" applyAlignment="1">
      <alignment vertical="center"/>
    </xf>
    <xf numFmtId="164" fontId="11" fillId="0" borderId="8" xfId="3" applyNumberFormat="1" applyFont="1" applyFill="1" applyBorder="1" applyAlignment="1">
      <alignment horizontal="center" vertical="center" wrapText="1"/>
    </xf>
    <xf numFmtId="0" fontId="9" fillId="0" borderId="8" xfId="3" applyFont="1" applyBorder="1" applyAlignment="1">
      <alignment horizontal="center" vertical="center"/>
    </xf>
    <xf numFmtId="169" fontId="22" fillId="12" borderId="8" xfId="3" quotePrefix="1" applyNumberFormat="1" applyFont="1" applyFill="1" applyBorder="1" applyAlignment="1">
      <alignment horizontal="center" vertical="center"/>
    </xf>
    <xf numFmtId="0" fontId="22" fillId="12" borderId="8" xfId="3" applyFont="1" applyFill="1" applyBorder="1" applyAlignment="1">
      <alignment horizontal="center" vertical="center"/>
    </xf>
    <xf numFmtId="9" fontId="9" fillId="0" borderId="8" xfId="3" applyNumberFormat="1" applyFont="1" applyBorder="1" applyAlignment="1">
      <alignment horizontal="center" vertical="center"/>
    </xf>
    <xf numFmtId="3" fontId="9" fillId="0" borderId="8" xfId="3" applyNumberFormat="1" applyFont="1" applyFill="1" applyBorder="1" applyAlignment="1">
      <alignment horizontal="center" vertical="center"/>
    </xf>
    <xf numFmtId="0" fontId="22" fillId="6" borderId="8" xfId="3" applyFont="1" applyFill="1" applyBorder="1" applyAlignment="1">
      <alignment horizontal="center" vertical="center"/>
    </xf>
    <xf numFmtId="176" fontId="9" fillId="0" borderId="8" xfId="4" applyNumberFormat="1" applyFont="1" applyBorder="1"/>
    <xf numFmtId="164" fontId="9" fillId="0" borderId="8" xfId="1" applyNumberFormat="1" applyFont="1" applyBorder="1"/>
    <xf numFmtId="3" fontId="9" fillId="0" borderId="8" xfId="3" applyNumberFormat="1" applyFont="1" applyBorder="1"/>
    <xf numFmtId="0" fontId="8" fillId="13" borderId="21" xfId="3" applyFont="1" applyFill="1" applyBorder="1"/>
    <xf numFmtId="14" fontId="9" fillId="0" borderId="8" xfId="3" applyNumberFormat="1" applyFont="1" applyBorder="1"/>
    <xf numFmtId="1" fontId="9" fillId="0" borderId="8" xfId="3" applyNumberFormat="1" applyFont="1" applyBorder="1"/>
    <xf numFmtId="3" fontId="22" fillId="12" borderId="8" xfId="3" applyNumberFormat="1" applyFont="1" applyFill="1" applyBorder="1"/>
    <xf numFmtId="3" fontId="22" fillId="6" borderId="8" xfId="3" applyNumberFormat="1" applyFont="1" applyFill="1" applyBorder="1"/>
    <xf numFmtId="0" fontId="8" fillId="13" borderId="8" xfId="3" applyFont="1" applyFill="1" applyBorder="1"/>
    <xf numFmtId="0" fontId="9" fillId="0" borderId="0" xfId="3" applyFont="1" applyFill="1" applyBorder="1"/>
    <xf numFmtId="43" fontId="9" fillId="0" borderId="0" xfId="4" applyFont="1" applyFill="1" applyBorder="1"/>
    <xf numFmtId="164" fontId="9" fillId="0" borderId="0" xfId="8" applyNumberFormat="1" applyFont="1" applyFill="1" applyBorder="1"/>
    <xf numFmtId="0" fontId="4" fillId="29" borderId="8" xfId="3" applyFont="1" applyFill="1" applyBorder="1" applyAlignment="1">
      <alignment horizontal="center" vertical="center" wrapText="1"/>
    </xf>
    <xf numFmtId="0" fontId="4" fillId="29" borderId="8" xfId="3" applyFont="1" applyFill="1" applyBorder="1" applyAlignment="1">
      <alignment horizontal="center" vertical="center"/>
    </xf>
    <xf numFmtId="0" fontId="43" fillId="0" borderId="0" xfId="3" applyFont="1" applyFill="1" applyBorder="1" applyAlignment="1"/>
    <xf numFmtId="0" fontId="38" fillId="22" borderId="0" xfId="3" applyFont="1" applyFill="1"/>
    <xf numFmtId="0" fontId="43" fillId="0" borderId="0" xfId="3" applyFont="1" applyFill="1" applyBorder="1" applyAlignment="1">
      <alignment horizontal="center"/>
    </xf>
    <xf numFmtId="0" fontId="43" fillId="0" borderId="0" xfId="3" applyFont="1" applyFill="1" applyBorder="1"/>
    <xf numFmtId="0" fontId="4" fillId="29" borderId="8" xfId="3" applyFont="1" applyFill="1" applyBorder="1" applyAlignment="1">
      <alignment horizontal="center"/>
    </xf>
    <xf numFmtId="164" fontId="4" fillId="29" borderId="8" xfId="1" applyNumberFormat="1" applyFont="1" applyFill="1" applyBorder="1"/>
    <xf numFmtId="1" fontId="9" fillId="0" borderId="0" xfId="3" applyNumberFormat="1" applyFont="1"/>
    <xf numFmtId="0" fontId="4" fillId="25" borderId="8" xfId="3" applyFont="1" applyFill="1" applyBorder="1" applyAlignment="1">
      <alignment horizontal="center" vertical="center" wrapText="1"/>
    </xf>
    <xf numFmtId="0" fontId="4" fillId="25" borderId="8" xfId="3" applyFont="1" applyFill="1" applyBorder="1" applyAlignment="1">
      <alignment horizontal="center" vertical="center"/>
    </xf>
    <xf numFmtId="0" fontId="8" fillId="0" borderId="0" xfId="3" applyFont="1" applyBorder="1" applyAlignment="1">
      <alignment horizontal="center"/>
    </xf>
    <xf numFmtId="0" fontId="28" fillId="0" borderId="0" xfId="3" applyFont="1" applyBorder="1"/>
    <xf numFmtId="0" fontId="12" fillId="22" borderId="0" xfId="3" applyFont="1" applyFill="1" applyBorder="1"/>
    <xf numFmtId="164" fontId="12" fillId="22" borderId="0" xfId="4" applyNumberFormat="1" applyFont="1" applyFill="1" applyBorder="1"/>
    <xf numFmtId="164" fontId="8" fillId="22" borderId="0" xfId="3" applyNumberFormat="1" applyFont="1" applyFill="1" applyBorder="1"/>
    <xf numFmtId="0" fontId="8" fillId="22" borderId="0" xfId="3" applyFont="1" applyFill="1" applyBorder="1"/>
    <xf numFmtId="164" fontId="4" fillId="25" borderId="8" xfId="1" applyNumberFormat="1" applyFont="1" applyFill="1" applyBorder="1" applyAlignment="1">
      <alignment vertical="center"/>
    </xf>
    <xf numFmtId="164" fontId="8" fillId="0" borderId="0" xfId="3" quotePrefix="1" applyNumberFormat="1" applyFont="1"/>
    <xf numFmtId="43" fontId="8" fillId="0" borderId="0" xfId="3" quotePrefix="1" applyNumberFormat="1" applyFont="1"/>
    <xf numFmtId="0" fontId="10" fillId="0" borderId="34" xfId="3" applyFont="1" applyFill="1" applyBorder="1" applyAlignment="1">
      <alignment horizontal="left"/>
    </xf>
    <xf numFmtId="0" fontId="10" fillId="0" borderId="35" xfId="3" applyFont="1" applyFill="1" applyBorder="1" applyAlignment="1">
      <alignment horizontal="left"/>
    </xf>
    <xf numFmtId="0" fontId="10" fillId="0" borderId="36" xfId="3" applyFont="1" applyFill="1" applyBorder="1" applyAlignment="1">
      <alignment horizontal="left"/>
    </xf>
    <xf numFmtId="0" fontId="16" fillId="0" borderId="27" xfId="3" applyFont="1" applyFill="1" applyBorder="1" applyAlignment="1">
      <alignment horizontal="left"/>
    </xf>
    <xf numFmtId="164" fontId="8" fillId="7" borderId="0" xfId="1" applyNumberFormat="1" applyFont="1" applyFill="1"/>
    <xf numFmtId="164" fontId="8" fillId="0" borderId="0" xfId="1" applyNumberFormat="1" applyFont="1" applyFill="1"/>
    <xf numFmtId="164" fontId="8" fillId="22" borderId="0" xfId="1" applyNumberFormat="1" applyFont="1" applyFill="1"/>
    <xf numFmtId="2" fontId="8" fillId="0" borderId="0" xfId="3" applyNumberFormat="1" applyFont="1"/>
    <xf numFmtId="0" fontId="23" fillId="0" borderId="0" xfId="0" applyFont="1"/>
    <xf numFmtId="0" fontId="23" fillId="0" borderId="0" xfId="0" applyFont="1" applyBorder="1"/>
    <xf numFmtId="0" fontId="0" fillId="0" borderId="0" xfId="0" applyBorder="1"/>
    <xf numFmtId="18" fontId="48" fillId="0" borderId="50" xfId="0" applyNumberFormat="1" applyFont="1" applyFill="1" applyBorder="1" applyAlignment="1">
      <alignment horizontal="left"/>
    </xf>
    <xf numFmtId="0" fontId="49" fillId="22" borderId="51" xfId="0" applyFont="1" applyFill="1" applyBorder="1" applyAlignment="1">
      <alignment horizontal="center"/>
    </xf>
    <xf numFmtId="1" fontId="49" fillId="22" borderId="52" xfId="0" applyNumberFormat="1" applyFont="1" applyFill="1" applyBorder="1" applyAlignment="1" applyProtection="1">
      <alignment horizontal="center"/>
    </xf>
    <xf numFmtId="1" fontId="49" fillId="22" borderId="53" xfId="0" applyNumberFormat="1" applyFont="1" applyFill="1" applyBorder="1" applyAlignment="1" applyProtection="1">
      <alignment horizontal="center"/>
    </xf>
    <xf numFmtId="1" fontId="6" fillId="22" borderId="50" xfId="0" applyNumberFormat="1" applyFont="1" applyFill="1" applyBorder="1" applyAlignment="1" applyProtection="1">
      <alignment horizontal="center"/>
    </xf>
    <xf numFmtId="18" fontId="48" fillId="0" borderId="54" xfId="0" applyNumberFormat="1" applyFont="1" applyFill="1" applyBorder="1" applyAlignment="1">
      <alignment horizontal="left"/>
    </xf>
    <xf numFmtId="1" fontId="49" fillId="7" borderId="52" xfId="0" applyNumberFormat="1" applyFont="1" applyFill="1" applyBorder="1" applyAlignment="1" applyProtection="1">
      <alignment horizontal="center"/>
    </xf>
    <xf numFmtId="22" fontId="48" fillId="0" borderId="55" xfId="0" applyNumberFormat="1" applyFont="1" applyFill="1" applyBorder="1" applyAlignment="1">
      <alignment horizontal="left"/>
    </xf>
    <xf numFmtId="0" fontId="47" fillId="22" borderId="34" xfId="0" applyFont="1" applyFill="1" applyBorder="1" applyAlignment="1">
      <alignment horizontal="center" vertical="center" wrapText="1" readingOrder="1"/>
    </xf>
    <xf numFmtId="22" fontId="48" fillId="22" borderId="45" xfId="0" applyNumberFormat="1" applyFont="1" applyFill="1" applyBorder="1" applyAlignment="1">
      <alignment horizontal="left"/>
    </xf>
    <xf numFmtId="1" fontId="6" fillId="22" borderId="45" xfId="0" applyNumberFormat="1" applyFont="1" applyFill="1" applyBorder="1" applyAlignment="1">
      <alignment horizontal="center"/>
    </xf>
    <xf numFmtId="1" fontId="49" fillId="22" borderId="49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vertical="center" textRotation="255"/>
    </xf>
    <xf numFmtId="18" fontId="48" fillId="0" borderId="0" xfId="0" applyNumberFormat="1" applyFont="1" applyFill="1" applyBorder="1" applyAlignment="1">
      <alignment horizontal="left"/>
    </xf>
    <xf numFmtId="1" fontId="49" fillId="0" borderId="0" xfId="0" applyNumberFormat="1" applyFont="1" applyFill="1" applyBorder="1" applyAlignment="1">
      <alignment horizontal="center"/>
    </xf>
    <xf numFmtId="0" fontId="49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49" fillId="0" borderId="0" xfId="0" applyNumberFormat="1" applyFont="1" applyFill="1" applyBorder="1" applyAlignment="1" applyProtection="1">
      <alignment horizontal="center"/>
    </xf>
    <xf numFmtId="0" fontId="0" fillId="0" borderId="0" xfId="0" applyFill="1"/>
    <xf numFmtId="168" fontId="0" fillId="0" borderId="0" xfId="0" applyNumberFormat="1" applyFill="1"/>
    <xf numFmtId="1" fontId="0" fillId="0" borderId="0" xfId="0" applyNumberFormat="1" applyFill="1"/>
    <xf numFmtId="0" fontId="50" fillId="0" borderId="8" xfId="0" applyFont="1" applyBorder="1" applyAlignment="1">
      <alignment horizontal="center" vertical="center"/>
    </xf>
    <xf numFmtId="3" fontId="50" fillId="0" borderId="8" xfId="0" applyNumberFormat="1" applyFont="1" applyBorder="1"/>
    <xf numFmtId="0" fontId="50" fillId="0" borderId="8" xfId="0" applyFont="1" applyBorder="1"/>
    <xf numFmtId="1" fontId="6" fillId="7" borderId="50" xfId="0" applyNumberFormat="1" applyFont="1" applyFill="1" applyBorder="1" applyAlignment="1" applyProtection="1">
      <alignment horizontal="center"/>
    </xf>
    <xf numFmtId="164" fontId="0" fillId="0" borderId="0" xfId="0" applyNumberFormat="1"/>
    <xf numFmtId="0" fontId="0" fillId="0" borderId="8" xfId="0" applyFill="1" applyBorder="1"/>
    <xf numFmtId="0" fontId="0" fillId="0" borderId="8" xfId="0" quotePrefix="1" applyFill="1" applyBorder="1"/>
    <xf numFmtId="164" fontId="0" fillId="0" borderId="8" xfId="1" applyNumberFormat="1" applyFont="1" applyFill="1" applyBorder="1"/>
    <xf numFmtId="164" fontId="8" fillId="0" borderId="0" xfId="8" applyNumberFormat="1" applyFont="1" applyBorder="1"/>
    <xf numFmtId="164" fontId="9" fillId="0" borderId="24" xfId="4" applyNumberFormat="1" applyFont="1" applyBorder="1"/>
    <xf numFmtId="3" fontId="9" fillId="0" borderId="24" xfId="3" applyNumberFormat="1" applyFont="1" applyFill="1" applyBorder="1"/>
    <xf numFmtId="3" fontId="9" fillId="0" borderId="49" xfId="3" applyNumberFormat="1" applyFont="1" applyFill="1" applyBorder="1"/>
    <xf numFmtId="1" fontId="6" fillId="7" borderId="54" xfId="0" applyNumberFormat="1" applyFont="1" applyFill="1" applyBorder="1" applyAlignment="1" applyProtection="1">
      <alignment horizontal="center"/>
    </xf>
    <xf numFmtId="1" fontId="6" fillId="7" borderId="39" xfId="0" applyNumberFormat="1" applyFont="1" applyFill="1" applyBorder="1" applyAlignment="1" applyProtection="1">
      <alignment horizontal="center"/>
    </xf>
    <xf numFmtId="1" fontId="49" fillId="0" borderId="52" xfId="0" applyNumberFormat="1" applyFont="1" applyFill="1" applyBorder="1" applyAlignment="1" applyProtection="1">
      <alignment horizontal="center"/>
    </xf>
    <xf numFmtId="1" fontId="49" fillId="0" borderId="53" xfId="0" applyNumberFormat="1" applyFont="1" applyFill="1" applyBorder="1" applyAlignment="1" applyProtection="1">
      <alignment horizontal="center"/>
    </xf>
    <xf numFmtId="164" fontId="0" fillId="0" borderId="0" xfId="1" applyNumberFormat="1" applyFont="1"/>
    <xf numFmtId="1" fontId="6" fillId="7" borderId="55" xfId="0" applyNumberFormat="1" applyFont="1" applyFill="1" applyBorder="1" applyAlignment="1" applyProtection="1">
      <alignment horizontal="center"/>
    </xf>
    <xf numFmtId="0" fontId="23" fillId="0" borderId="0" xfId="0" applyFont="1" applyAlignment="1">
      <alignment horizontal="center"/>
    </xf>
    <xf numFmtId="0" fontId="49" fillId="7" borderId="51" xfId="0" applyFont="1" applyFill="1" applyBorder="1" applyAlignment="1">
      <alignment horizontal="center"/>
    </xf>
    <xf numFmtId="1" fontId="49" fillId="7" borderId="53" xfId="0" applyNumberFormat="1" applyFont="1" applyFill="1" applyBorder="1" applyAlignment="1" applyProtection="1">
      <alignment horizontal="center"/>
    </xf>
    <xf numFmtId="0" fontId="49" fillId="0" borderId="51" xfId="0" applyFont="1" applyFill="1" applyBorder="1" applyAlignment="1">
      <alignment horizontal="center"/>
    </xf>
    <xf numFmtId="164" fontId="8" fillId="9" borderId="21" xfId="3" applyNumberFormat="1" applyFont="1" applyFill="1" applyBorder="1"/>
    <xf numFmtId="164" fontId="8" fillId="9" borderId="18" xfId="3" applyNumberFormat="1" applyFont="1" applyFill="1" applyBorder="1"/>
    <xf numFmtId="9" fontId="4" fillId="0" borderId="0" xfId="2" applyFont="1"/>
    <xf numFmtId="164" fontId="4" fillId="0" borderId="0" xfId="1" applyNumberFormat="1" applyFont="1"/>
    <xf numFmtId="0" fontId="4" fillId="0" borderId="0" xfId="3" applyFont="1"/>
    <xf numFmtId="9" fontId="4" fillId="0" borderId="62" xfId="2" applyFont="1" applyBorder="1" applyAlignment="1">
      <alignment vertical="center"/>
    </xf>
    <xf numFmtId="164" fontId="4" fillId="0" borderId="63" xfId="1" applyNumberFormat="1" applyFont="1" applyBorder="1" applyAlignment="1">
      <alignment vertical="center"/>
    </xf>
    <xf numFmtId="0" fontId="4" fillId="0" borderId="63" xfId="3" applyFont="1" applyBorder="1" applyAlignment="1">
      <alignment vertical="center"/>
    </xf>
    <xf numFmtId="0" fontId="4" fillId="0" borderId="64" xfId="3" applyFont="1" applyBorder="1" applyAlignment="1">
      <alignment vertical="center"/>
    </xf>
    <xf numFmtId="9" fontId="8" fillId="0" borderId="62" xfId="2" applyFont="1" applyBorder="1"/>
    <xf numFmtId="164" fontId="8" fillId="0" borderId="63" xfId="1" applyNumberFormat="1" applyFont="1" applyBorder="1"/>
    <xf numFmtId="164" fontId="8" fillId="0" borderId="63" xfId="3" applyNumberFormat="1" applyFont="1" applyBorder="1"/>
    <xf numFmtId="164" fontId="19" fillId="0" borderId="64" xfId="3" applyNumberFormat="1" applyFont="1" applyBorder="1"/>
    <xf numFmtId="0" fontId="8" fillId="0" borderId="62" xfId="3" applyFont="1" applyBorder="1"/>
    <xf numFmtId="0" fontId="8" fillId="0" borderId="63" xfId="3" applyFont="1" applyBorder="1"/>
    <xf numFmtId="0" fontId="8" fillId="0" borderId="65" xfId="3" applyFont="1" applyBorder="1"/>
    <xf numFmtId="0" fontId="8" fillId="0" borderId="66" xfId="3" applyFont="1" applyBorder="1"/>
    <xf numFmtId="164" fontId="8" fillId="0" borderId="66" xfId="1" applyNumberFormat="1" applyFont="1" applyBorder="1"/>
    <xf numFmtId="164" fontId="8" fillId="0" borderId="66" xfId="3" applyNumberFormat="1" applyFont="1" applyBorder="1"/>
    <xf numFmtId="164" fontId="19" fillId="0" borderId="67" xfId="3" applyNumberFormat="1" applyFont="1" applyBorder="1"/>
    <xf numFmtId="164" fontId="7" fillId="9" borderId="18" xfId="3" applyNumberFormat="1" applyFont="1" applyFill="1" applyBorder="1"/>
    <xf numFmtId="164" fontId="7" fillId="9" borderId="21" xfId="3" applyNumberFormat="1" applyFont="1" applyFill="1" applyBorder="1"/>
    <xf numFmtId="164" fontId="7" fillId="9" borderId="30" xfId="3" applyNumberFormat="1" applyFont="1" applyFill="1" applyBorder="1"/>
    <xf numFmtId="164" fontId="7" fillId="9" borderId="18" xfId="4" applyNumberFormat="1" applyFont="1" applyFill="1" applyBorder="1"/>
    <xf numFmtId="164" fontId="8" fillId="0" borderId="8" xfId="3" applyNumberFormat="1" applyFont="1" applyBorder="1"/>
    <xf numFmtId="164" fontId="4" fillId="0" borderId="8" xfId="3" applyNumberFormat="1" applyFont="1" applyBorder="1"/>
    <xf numFmtId="164" fontId="15" fillId="9" borderId="43" xfId="3" applyNumberFormat="1" applyFont="1" applyFill="1" applyBorder="1"/>
    <xf numFmtId="0" fontId="8" fillId="0" borderId="68" xfId="3" applyFont="1" applyBorder="1"/>
    <xf numFmtId="0" fontId="8" fillId="0" borderId="69" xfId="3" applyFont="1" applyBorder="1"/>
    <xf numFmtId="164" fontId="8" fillId="0" borderId="69" xfId="1" applyNumberFormat="1" applyFont="1" applyBorder="1"/>
    <xf numFmtId="164" fontId="8" fillId="0" borderId="69" xfId="3" applyNumberFormat="1" applyFont="1" applyBorder="1"/>
    <xf numFmtId="164" fontId="19" fillId="0" borderId="70" xfId="3" applyNumberFormat="1" applyFont="1" applyBorder="1"/>
    <xf numFmtId="164" fontId="12" fillId="11" borderId="8" xfId="6" applyNumberFormat="1" applyFont="1" applyFill="1" applyBorder="1"/>
    <xf numFmtId="164" fontId="12" fillId="12" borderId="8" xfId="6" applyNumberFormat="1" applyFont="1" applyFill="1" applyBorder="1"/>
    <xf numFmtId="0" fontId="8" fillId="6" borderId="8" xfId="3" applyFont="1" applyFill="1" applyBorder="1"/>
    <xf numFmtId="0" fontId="9" fillId="0" borderId="8" xfId="3" applyFont="1" applyFill="1" applyBorder="1"/>
    <xf numFmtId="0" fontId="12" fillId="0" borderId="8" xfId="3" applyFont="1" applyBorder="1"/>
    <xf numFmtId="0" fontId="12" fillId="0" borderId="11" xfId="3" applyFont="1" applyBorder="1"/>
    <xf numFmtId="0" fontId="12" fillId="0" borderId="12" xfId="3" applyFont="1" applyBorder="1"/>
    <xf numFmtId="9" fontId="8" fillId="0" borderId="0" xfId="2" applyNumberFormat="1" applyFont="1"/>
    <xf numFmtId="1" fontId="9" fillId="22" borderId="0" xfId="3" applyNumberFormat="1" applyFont="1" applyFill="1"/>
    <xf numFmtId="0" fontId="23" fillId="0" borderId="0" xfId="0" applyFont="1" applyAlignment="1">
      <alignment horizontal="center"/>
    </xf>
    <xf numFmtId="1" fontId="8" fillId="0" borderId="0" xfId="3" applyNumberFormat="1" applyFont="1" applyFill="1" applyBorder="1"/>
    <xf numFmtId="1" fontId="6" fillId="22" borderId="54" xfId="0" applyNumberFormat="1" applyFont="1" applyFill="1" applyBorder="1" applyAlignment="1" applyProtection="1">
      <alignment horizontal="center"/>
    </xf>
    <xf numFmtId="1" fontId="6" fillId="22" borderId="55" xfId="0" applyNumberFormat="1" applyFont="1" applyFill="1" applyBorder="1" applyAlignment="1" applyProtection="1">
      <alignment horizontal="center"/>
    </xf>
    <xf numFmtId="0" fontId="23" fillId="22" borderId="4" xfId="0" applyFont="1" applyFill="1" applyBorder="1" applyAlignment="1">
      <alignment vertical="center" wrapText="1"/>
    </xf>
    <xf numFmtId="0" fontId="23" fillId="22" borderId="57" xfId="0" applyFont="1" applyFill="1" applyBorder="1" applyAlignment="1">
      <alignment vertical="center" wrapText="1"/>
    </xf>
    <xf numFmtId="0" fontId="23" fillId="0" borderId="57" xfId="0" applyFont="1" applyFill="1" applyBorder="1" applyAlignment="1">
      <alignment vertical="center" wrapText="1"/>
    </xf>
    <xf numFmtId="0" fontId="23" fillId="22" borderId="71" xfId="0" applyFont="1" applyFill="1" applyBorder="1" applyAlignment="1">
      <alignment vertical="center" wrapText="1"/>
    </xf>
    <xf numFmtId="1" fontId="49" fillId="22" borderId="24" xfId="0" applyNumberFormat="1" applyFont="1" applyFill="1" applyBorder="1" applyAlignment="1">
      <alignment horizontal="center"/>
    </xf>
    <xf numFmtId="164" fontId="50" fillId="0" borderId="8" xfId="1" applyNumberFormat="1" applyFont="1" applyBorder="1"/>
    <xf numFmtId="164" fontId="16" fillId="22" borderId="45" xfId="1" applyNumberFormat="1" applyFont="1" applyFill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1" fillId="0" borderId="8" xfId="0" applyFont="1" applyFill="1" applyBorder="1" applyAlignment="1">
      <alignment horizontal="center" vertical="center" wrapText="1"/>
    </xf>
    <xf numFmtId="18" fontId="16" fillId="0" borderId="8" xfId="0" applyNumberFormat="1" applyFont="1" applyFill="1" applyBorder="1" applyAlignment="1">
      <alignment horizontal="center" vertical="center" wrapText="1"/>
    </xf>
    <xf numFmtId="164" fontId="52" fillId="0" borderId="8" xfId="1" applyNumberFormat="1" applyFont="1" applyFill="1" applyBorder="1"/>
    <xf numFmtId="0" fontId="23" fillId="0" borderId="0" xfId="0" applyFont="1" applyAlignment="1">
      <alignment horizontal="center"/>
    </xf>
    <xf numFmtId="43" fontId="0" fillId="0" borderId="0" xfId="0" applyNumberFormat="1"/>
    <xf numFmtId="4" fontId="32" fillId="7" borderId="8" xfId="1" quotePrefix="1" applyNumberFormat="1" applyFont="1" applyFill="1" applyBorder="1" applyAlignment="1">
      <alignment horizontal="right" vertical="center"/>
    </xf>
    <xf numFmtId="43" fontId="53" fillId="30" borderId="8" xfId="3" applyNumberFormat="1" applyFont="1" applyFill="1" applyBorder="1"/>
    <xf numFmtId="164" fontId="24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/>
    <xf numFmtId="0" fontId="16" fillId="0" borderId="37" xfId="3" applyFont="1" applyFill="1" applyBorder="1" applyAlignment="1">
      <alignment horizontal="left"/>
    </xf>
    <xf numFmtId="176" fontId="8" fillId="0" borderId="0" xfId="1" applyNumberFormat="1" applyFont="1"/>
    <xf numFmtId="0" fontId="52" fillId="0" borderId="45" xfId="0" applyFont="1" applyBorder="1" applyAlignment="1">
      <alignment horizontal="center" vertical="center"/>
    </xf>
    <xf numFmtId="0" fontId="52" fillId="0" borderId="72" xfId="0" applyFont="1" applyBorder="1" applyAlignment="1">
      <alignment horizontal="center" vertical="center"/>
    </xf>
    <xf numFmtId="0" fontId="52" fillId="0" borderId="73" xfId="0" applyFont="1" applyBorder="1" applyAlignment="1">
      <alignment horizontal="center" vertical="center"/>
    </xf>
    <xf numFmtId="0" fontId="0" fillId="0" borderId="74" xfId="0" applyBorder="1" applyAlignment="1">
      <alignment vertical="center"/>
    </xf>
    <xf numFmtId="0" fontId="0" fillId="0" borderId="75" xfId="0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77" xfId="0" applyBorder="1" applyAlignment="1">
      <alignment vertical="center"/>
    </xf>
    <xf numFmtId="0" fontId="0" fillId="0" borderId="78" xfId="0" applyBorder="1" applyAlignment="1">
      <alignment vertical="center"/>
    </xf>
    <xf numFmtId="0" fontId="0" fillId="0" borderId="79" xfId="0" applyBorder="1" applyAlignment="1">
      <alignment vertical="center"/>
    </xf>
    <xf numFmtId="0" fontId="0" fillId="0" borderId="80" xfId="0" applyBorder="1" applyAlignment="1">
      <alignment vertical="center"/>
    </xf>
    <xf numFmtId="0" fontId="0" fillId="0" borderId="81" xfId="0" applyBorder="1" applyAlignment="1">
      <alignment vertical="center"/>
    </xf>
    <xf numFmtId="0" fontId="0" fillId="0" borderId="82" xfId="0" applyBorder="1" applyAlignment="1">
      <alignment vertical="center"/>
    </xf>
    <xf numFmtId="164" fontId="0" fillId="0" borderId="75" xfId="1" applyNumberFormat="1" applyFont="1" applyBorder="1" applyAlignment="1">
      <alignment vertical="center"/>
    </xf>
    <xf numFmtId="164" fontId="0" fillId="0" borderId="76" xfId="1" applyNumberFormat="1" applyFont="1" applyBorder="1" applyAlignment="1">
      <alignment vertical="center"/>
    </xf>
    <xf numFmtId="164" fontId="0" fillId="0" borderId="78" xfId="1" applyNumberFormat="1" applyFont="1" applyBorder="1" applyAlignment="1">
      <alignment vertical="center"/>
    </xf>
    <xf numFmtId="164" fontId="0" fillId="0" borderId="79" xfId="1" applyNumberFormat="1" applyFont="1" applyBorder="1" applyAlignment="1">
      <alignment vertical="center"/>
    </xf>
    <xf numFmtId="0" fontId="0" fillId="0" borderId="45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164" fontId="0" fillId="0" borderId="83" xfId="1" applyNumberFormat="1" applyFont="1" applyBorder="1" applyAlignment="1">
      <alignment vertical="center"/>
    </xf>
    <xf numFmtId="164" fontId="0" fillId="0" borderId="73" xfId="1" applyNumberFormat="1" applyFont="1" applyBorder="1" applyAlignment="1">
      <alignment vertical="center"/>
    </xf>
    <xf numFmtId="20" fontId="8" fillId="0" borderId="0" xfId="3" applyNumberFormat="1" applyFont="1"/>
    <xf numFmtId="177" fontId="8" fillId="0" borderId="0" xfId="2" applyNumberFormat="1" applyFont="1"/>
    <xf numFmtId="168" fontId="9" fillId="0" borderId="0" xfId="3" applyNumberFormat="1" applyFont="1"/>
    <xf numFmtId="10" fontId="8" fillId="0" borderId="0" xfId="2" applyNumberFormat="1" applyFont="1"/>
    <xf numFmtId="164" fontId="8" fillId="0" borderId="0" xfId="1" applyNumberFormat="1" applyFont="1" applyFill="1" applyBorder="1"/>
    <xf numFmtId="177" fontId="8" fillId="0" borderId="0" xfId="2" applyNumberFormat="1" applyFont="1" applyFill="1" applyBorder="1"/>
    <xf numFmtId="164" fontId="21" fillId="0" borderId="0" xfId="1" applyNumberFormat="1" applyFont="1" applyAlignment="1">
      <alignment wrapText="1"/>
    </xf>
    <xf numFmtId="18" fontId="8" fillId="0" borderId="0" xfId="3" applyNumberFormat="1" applyFont="1" applyAlignment="1">
      <alignment horizontal="center" vertical="center"/>
    </xf>
    <xf numFmtId="0" fontId="8" fillId="0" borderId="0" xfId="3" applyFont="1" applyAlignment="1">
      <alignment horizontal="center" vertical="center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164" fontId="8" fillId="12" borderId="8" xfId="4" applyNumberFormat="1" applyFont="1" applyFill="1" applyBorder="1"/>
    <xf numFmtId="164" fontId="35" fillId="24" borderId="8" xfId="4" applyNumberFormat="1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50" fillId="0" borderId="0" xfId="0" applyFont="1"/>
    <xf numFmtId="0" fontId="57" fillId="33" borderId="8" xfId="0" applyFont="1" applyFill="1" applyBorder="1" applyAlignment="1">
      <alignment horizontal="center" vertical="center"/>
    </xf>
    <xf numFmtId="0" fontId="50" fillId="7" borderId="8" xfId="0" applyFont="1" applyFill="1" applyBorder="1" applyAlignment="1">
      <alignment horizontal="center" vertical="center"/>
    </xf>
    <xf numFmtId="3" fontId="60" fillId="0" borderId="8" xfId="0" applyNumberFormat="1" applyFont="1" applyBorder="1"/>
    <xf numFmtId="3" fontId="61" fillId="0" borderId="8" xfId="0" applyNumberFormat="1" applyFont="1" applyBorder="1"/>
    <xf numFmtId="0" fontId="49" fillId="34" borderId="51" xfId="0" applyFont="1" applyFill="1" applyBorder="1" applyAlignment="1">
      <alignment horizontal="center"/>
    </xf>
    <xf numFmtId="1" fontId="49" fillId="34" borderId="52" xfId="0" applyNumberFormat="1" applyFont="1" applyFill="1" applyBorder="1" applyAlignment="1" applyProtection="1">
      <alignment horizontal="center"/>
    </xf>
    <xf numFmtId="1" fontId="49" fillId="34" borderId="53" xfId="0" applyNumberFormat="1" applyFont="1" applyFill="1" applyBorder="1" applyAlignment="1" applyProtection="1">
      <alignment horizontal="center"/>
    </xf>
    <xf numFmtId="1" fontId="6" fillId="34" borderId="50" xfId="0" applyNumberFormat="1" applyFont="1" applyFill="1" applyBorder="1" applyAlignment="1" applyProtection="1">
      <alignment horizontal="center"/>
    </xf>
    <xf numFmtId="0" fontId="23" fillId="34" borderId="5" xfId="0" applyFont="1" applyFill="1" applyBorder="1" applyAlignment="1">
      <alignment vertical="center" wrapText="1"/>
    </xf>
    <xf numFmtId="164" fontId="62" fillId="0" borderId="8" xfId="1" applyNumberFormat="1" applyFont="1" applyBorder="1"/>
    <xf numFmtId="1" fontId="6" fillId="34" borderId="54" xfId="0" applyNumberFormat="1" applyFont="1" applyFill="1" applyBorder="1" applyAlignment="1" applyProtection="1">
      <alignment horizontal="center"/>
    </xf>
    <xf numFmtId="0" fontId="23" fillId="34" borderId="84" xfId="0" applyFont="1" applyFill="1" applyBorder="1" applyAlignment="1">
      <alignment vertical="center" wrapText="1"/>
    </xf>
    <xf numFmtId="0" fontId="54" fillId="33" borderId="4" xfId="0" applyFont="1" applyFill="1" applyBorder="1" applyAlignment="1">
      <alignment horizontal="center"/>
    </xf>
    <xf numFmtId="0" fontId="54" fillId="33" borderId="7" xfId="0" applyFont="1" applyFill="1" applyBorder="1"/>
    <xf numFmtId="18" fontId="48" fillId="0" borderId="30" xfId="0" applyNumberFormat="1" applyFont="1" applyFill="1" applyBorder="1" applyAlignment="1">
      <alignment horizontal="left"/>
    </xf>
    <xf numFmtId="164" fontId="0" fillId="0" borderId="31" xfId="0" applyNumberFormat="1" applyBorder="1"/>
    <xf numFmtId="1" fontId="49" fillId="12" borderId="52" xfId="0" applyNumberFormat="1" applyFont="1" applyFill="1" applyBorder="1" applyAlignment="1" applyProtection="1">
      <alignment horizontal="center"/>
    </xf>
    <xf numFmtId="1" fontId="6" fillId="12" borderId="54" xfId="0" applyNumberFormat="1" applyFont="1" applyFill="1" applyBorder="1" applyAlignment="1" applyProtection="1">
      <alignment horizontal="center"/>
    </xf>
    <xf numFmtId="164" fontId="50" fillId="7" borderId="8" xfId="1" applyNumberFormat="1" applyFont="1" applyFill="1" applyBorder="1"/>
    <xf numFmtId="164" fontId="62" fillId="7" borderId="8" xfId="1" applyNumberFormat="1" applyFont="1" applyFill="1" applyBorder="1"/>
    <xf numFmtId="18" fontId="48" fillId="0" borderId="85" xfId="0" applyNumberFormat="1" applyFont="1" applyFill="1" applyBorder="1" applyAlignment="1">
      <alignment horizontal="left"/>
    </xf>
    <xf numFmtId="164" fontId="0" fillId="0" borderId="86" xfId="0" applyNumberFormat="1" applyBorder="1"/>
    <xf numFmtId="18" fontId="48" fillId="0" borderId="71" xfId="0" applyNumberFormat="1" applyFont="1" applyFill="1" applyBorder="1" applyAlignment="1">
      <alignment horizontal="left"/>
    </xf>
    <xf numFmtId="164" fontId="0" fillId="0" borderId="49" xfId="0" applyNumberFormat="1" applyBorder="1"/>
    <xf numFmtId="164" fontId="50" fillId="22" borderId="8" xfId="1" applyNumberFormat="1" applyFont="1" applyFill="1" applyBorder="1"/>
    <xf numFmtId="1" fontId="6" fillId="34" borderId="55" xfId="0" applyNumberFormat="1" applyFont="1" applyFill="1" applyBorder="1" applyAlignment="1" applyProtection="1">
      <alignment horizontal="center"/>
    </xf>
    <xf numFmtId="0" fontId="23" fillId="34" borderId="87" xfId="0" applyFont="1" applyFill="1" applyBorder="1" applyAlignment="1">
      <alignment vertical="center" wrapText="1"/>
    </xf>
    <xf numFmtId="1" fontId="6" fillId="6" borderId="45" xfId="0" applyNumberFormat="1" applyFont="1" applyFill="1" applyBorder="1" applyAlignment="1">
      <alignment horizontal="center"/>
    </xf>
    <xf numFmtId="164" fontId="16" fillId="6" borderId="8" xfId="1" applyNumberFormat="1" applyFont="1" applyFill="1" applyBorder="1" applyAlignment="1">
      <alignment horizontal="center"/>
    </xf>
    <xf numFmtId="169" fontId="64" fillId="0" borderId="0" xfId="0" applyNumberFormat="1" applyFont="1" applyFill="1" applyBorder="1" applyAlignment="1">
      <alignment horizontal="center"/>
    </xf>
    <xf numFmtId="3" fontId="50" fillId="0" borderId="0" xfId="0" applyNumberFormat="1" applyFont="1"/>
    <xf numFmtId="3" fontId="0" fillId="0" borderId="0" xfId="0" applyNumberFormat="1"/>
    <xf numFmtId="0" fontId="52" fillId="0" borderId="0" xfId="0" applyFont="1"/>
    <xf numFmtId="164" fontId="8" fillId="0" borderId="0" xfId="1" applyNumberFormat="1" applyFont="1" applyBorder="1"/>
    <xf numFmtId="164" fontId="8" fillId="0" borderId="0" xfId="3" applyNumberFormat="1" applyFont="1" applyBorder="1"/>
    <xf numFmtId="164" fontId="19" fillId="0" borderId="0" xfId="3" applyNumberFormat="1" applyFont="1" applyBorder="1"/>
    <xf numFmtId="164" fontId="8" fillId="35" borderId="8" xfId="4" applyNumberFormat="1" applyFont="1" applyFill="1" applyBorder="1"/>
    <xf numFmtId="164" fontId="8" fillId="30" borderId="8" xfId="4" applyNumberFormat="1" applyFont="1" applyFill="1" applyBorder="1"/>
    <xf numFmtId="164" fontId="8" fillId="27" borderId="8" xfId="4" applyNumberFormat="1" applyFont="1" applyFill="1" applyBorder="1"/>
    <xf numFmtId="164" fontId="8" fillId="18" borderId="18" xfId="4" applyNumberFormat="1" applyFont="1" applyFill="1" applyBorder="1"/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164" fontId="8" fillId="18" borderId="8" xfId="4" applyNumberFormat="1" applyFont="1" applyFill="1" applyBorder="1"/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164" fontId="5" fillId="0" borderId="0" xfId="3" applyNumberFormat="1" applyFont="1" applyFill="1" applyBorder="1"/>
    <xf numFmtId="43" fontId="5" fillId="0" borderId="0" xfId="3" applyNumberFormat="1" applyFont="1" applyFill="1" applyBorder="1"/>
    <xf numFmtId="9" fontId="12" fillId="0" borderId="0" xfId="2" applyFont="1" applyFill="1" applyBorder="1"/>
    <xf numFmtId="164" fontId="5" fillId="0" borderId="0" xfId="3" applyNumberFormat="1" applyFont="1" applyFill="1" applyBorder="1" applyAlignment="1">
      <alignment horizontal="center"/>
    </xf>
    <xf numFmtId="164" fontId="4" fillId="0" borderId="0" xfId="3" applyNumberFormat="1" applyFont="1" applyFill="1" applyBorder="1" applyAlignment="1">
      <alignment horizontal="center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0" fontId="0" fillId="36" borderId="74" xfId="0" applyFill="1" applyBorder="1" applyAlignment="1">
      <alignment vertical="center"/>
    </xf>
    <xf numFmtId="0" fontId="0" fillId="36" borderId="75" xfId="0" applyFill="1" applyBorder="1" applyAlignment="1">
      <alignment vertical="center"/>
    </xf>
    <xf numFmtId="0" fontId="0" fillId="36" borderId="77" xfId="0" applyFill="1" applyBorder="1" applyAlignment="1">
      <alignment vertical="center"/>
    </xf>
    <xf numFmtId="0" fontId="0" fillId="36" borderId="78" xfId="0" applyFill="1" applyBorder="1" applyAlignment="1">
      <alignment vertical="center"/>
    </xf>
    <xf numFmtId="0" fontId="0" fillId="36" borderId="80" xfId="0" applyFill="1" applyBorder="1" applyAlignment="1">
      <alignment vertical="center"/>
    </xf>
    <xf numFmtId="0" fontId="0" fillId="36" borderId="81" xfId="0" applyFill="1" applyBorder="1" applyAlignment="1">
      <alignment vertical="center"/>
    </xf>
    <xf numFmtId="0" fontId="0" fillId="0" borderId="77" xfId="0" applyBorder="1" applyAlignment="1">
      <alignment vertical="center" wrapText="1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164" fontId="8" fillId="12" borderId="8" xfId="3" applyNumberFormat="1" applyFont="1" applyFill="1" applyBorder="1"/>
    <xf numFmtId="164" fontId="8" fillId="37" borderId="8" xfId="3" applyNumberFormat="1" applyFont="1" applyFill="1" applyBorder="1"/>
    <xf numFmtId="164" fontId="8" fillId="38" borderId="8" xfId="3" applyNumberFormat="1" applyFont="1" applyFill="1" applyBorder="1"/>
    <xf numFmtId="164" fontId="8" fillId="39" borderId="8" xfId="3" applyNumberFormat="1" applyFont="1" applyFill="1" applyBorder="1"/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164" fontId="8" fillId="7" borderId="8" xfId="3" applyNumberFormat="1" applyFont="1" applyFill="1" applyBorder="1"/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164" fontId="8" fillId="12" borderId="18" xfId="4" applyNumberFormat="1" applyFont="1" applyFill="1" applyBorder="1"/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164" fontId="8" fillId="9" borderId="9" xfId="4" applyNumberFormat="1" applyFont="1" applyFill="1" applyBorder="1"/>
    <xf numFmtId="164" fontId="8" fillId="38" borderId="8" xfId="4" applyNumberFormat="1" applyFont="1" applyFill="1" applyBorder="1"/>
    <xf numFmtId="164" fontId="8" fillId="38" borderId="18" xfId="4" applyNumberFormat="1" applyFont="1" applyFill="1" applyBorder="1"/>
    <xf numFmtId="164" fontId="8" fillId="0" borderId="0" xfId="3" applyNumberFormat="1" applyFont="1" applyBorder="1" applyAlignment="1">
      <alignment horizontal="left"/>
    </xf>
    <xf numFmtId="0" fontId="12" fillId="0" borderId="0" xfId="3" applyFont="1" applyBorder="1"/>
    <xf numFmtId="0" fontId="41" fillId="0" borderId="0" xfId="3" applyFont="1" applyBorder="1"/>
    <xf numFmtId="0" fontId="3" fillId="0" borderId="0" xfId="3" applyBorder="1"/>
    <xf numFmtId="9" fontId="8" fillId="0" borderId="0" xfId="2" applyFont="1" applyBorder="1"/>
    <xf numFmtId="1" fontId="8" fillId="0" borderId="0" xfId="3" applyNumberFormat="1" applyFont="1" applyBorder="1"/>
    <xf numFmtId="9" fontId="8" fillId="0" borderId="0" xfId="2" applyNumberFormat="1" applyFont="1" applyBorder="1"/>
    <xf numFmtId="0" fontId="8" fillId="0" borderId="0" xfId="3" applyFont="1" applyFill="1" applyBorder="1" applyAlignment="1">
      <alignment vertical="center" wrapText="1"/>
    </xf>
    <xf numFmtId="0" fontId="0" fillId="40" borderId="45" xfId="0" applyFill="1" applyBorder="1" applyAlignment="1">
      <alignment horizontal="center" vertical="center"/>
    </xf>
    <xf numFmtId="0" fontId="0" fillId="40" borderId="42" xfId="0" applyFill="1" applyBorder="1" applyAlignment="1">
      <alignment vertical="center"/>
    </xf>
    <xf numFmtId="164" fontId="0" fillId="40" borderId="83" xfId="1" applyNumberFormat="1" applyFont="1" applyFill="1" applyBorder="1" applyAlignment="1">
      <alignment vertical="center"/>
    </xf>
    <xf numFmtId="0" fontId="52" fillId="0" borderId="88" xfId="0" applyFont="1" applyBorder="1" applyAlignment="1">
      <alignment horizontal="center" vertical="center"/>
    </xf>
    <xf numFmtId="0" fontId="0" fillId="36" borderId="89" xfId="0" applyFill="1" applyBorder="1" applyAlignment="1">
      <alignment vertical="center"/>
    </xf>
    <xf numFmtId="0" fontId="0" fillId="36" borderId="90" xfId="0" applyFill="1" applyBorder="1" applyAlignment="1">
      <alignment vertical="center"/>
    </xf>
    <xf numFmtId="0" fontId="0" fillId="36" borderId="91" xfId="0" applyFill="1" applyBorder="1" applyAlignment="1">
      <alignment vertical="center"/>
    </xf>
    <xf numFmtId="0" fontId="0" fillId="0" borderId="89" xfId="0" applyBorder="1" applyAlignment="1">
      <alignment vertical="center"/>
    </xf>
    <xf numFmtId="0" fontId="0" fillId="0" borderId="90" xfId="0" applyBorder="1" applyAlignment="1">
      <alignment vertical="center"/>
    </xf>
    <xf numFmtId="164" fontId="0" fillId="0" borderId="92" xfId="1" applyNumberFormat="1" applyFont="1" applyBorder="1" applyAlignment="1">
      <alignment vertical="center"/>
    </xf>
    <xf numFmtId="164" fontId="0" fillId="40" borderId="88" xfId="1" applyNumberFormat="1" applyFont="1" applyFill="1" applyBorder="1" applyAlignment="1">
      <alignment vertical="center"/>
    </xf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164" fontId="8" fillId="7" borderId="8" xfId="4" applyNumberFormat="1" applyFont="1" applyFill="1" applyBorder="1"/>
    <xf numFmtId="164" fontId="19" fillId="0" borderId="0" xfId="3" applyNumberFormat="1" applyFont="1" applyFill="1" applyBorder="1"/>
    <xf numFmtId="3" fontId="9" fillId="0" borderId="9" xfId="3" applyNumberFormat="1" applyFont="1" applyFill="1" applyBorder="1"/>
    <xf numFmtId="3" fontId="20" fillId="0" borderId="9" xfId="3" applyNumberFormat="1" applyFont="1" applyFill="1" applyBorder="1"/>
    <xf numFmtId="9" fontId="8" fillId="0" borderId="0" xfId="2" applyFont="1" applyFill="1" applyBorder="1"/>
    <xf numFmtId="9" fontId="4" fillId="0" borderId="0" xfId="2" applyFont="1" applyFill="1" applyBorder="1"/>
    <xf numFmtId="164" fontId="4" fillId="0" borderId="0" xfId="1" applyNumberFormat="1" applyFont="1" applyFill="1" applyBorder="1"/>
    <xf numFmtId="9" fontId="4" fillId="0" borderId="0" xfId="2" applyFont="1" applyFill="1" applyBorder="1" applyAlignment="1">
      <alignment vertical="center"/>
    </xf>
    <xf numFmtId="164" fontId="4" fillId="0" borderId="0" xfId="1" applyNumberFormat="1" applyFont="1" applyFill="1" applyBorder="1" applyAlignment="1">
      <alignment vertical="center"/>
    </xf>
    <xf numFmtId="0" fontId="4" fillId="0" borderId="0" xfId="3" applyFont="1" applyFill="1" applyBorder="1" applyAlignment="1">
      <alignment vertical="center"/>
    </xf>
    <xf numFmtId="43" fontId="8" fillId="0" borderId="0" xfId="1" applyFont="1" applyFill="1" applyBorder="1"/>
    <xf numFmtId="4" fontId="8" fillId="0" borderId="0" xfId="3" applyNumberFormat="1" applyFont="1" applyFill="1" applyBorder="1"/>
    <xf numFmtId="164" fontId="5" fillId="0" borderId="0" xfId="4" applyNumberFormat="1" applyFont="1" applyFill="1" applyBorder="1" applyAlignment="1">
      <alignment horizontal="center" vertical="center"/>
    </xf>
    <xf numFmtId="3" fontId="12" fillId="0" borderId="0" xfId="3" applyNumberFormat="1" applyFont="1" applyFill="1" applyBorder="1" applyAlignment="1" applyProtection="1">
      <alignment vertical="center"/>
    </xf>
    <xf numFmtId="3" fontId="24" fillId="0" borderId="0" xfId="3" applyNumberFormat="1" applyFont="1" applyFill="1" applyBorder="1"/>
    <xf numFmtId="3" fontId="9" fillId="0" borderId="9" xfId="3" applyNumberFormat="1" applyFont="1" applyBorder="1"/>
    <xf numFmtId="3" fontId="22" fillId="6" borderId="9" xfId="3" applyNumberFormat="1" applyFont="1" applyFill="1" applyBorder="1"/>
    <xf numFmtId="0" fontId="4" fillId="0" borderId="0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vertical="center"/>
    </xf>
    <xf numFmtId="179" fontId="8" fillId="0" borderId="0" xfId="3" applyNumberFormat="1" applyFont="1"/>
    <xf numFmtId="164" fontId="9" fillId="0" borderId="31" xfId="4" applyNumberFormat="1" applyFont="1" applyFill="1" applyBorder="1" applyAlignment="1">
      <alignment horizontal="right"/>
    </xf>
    <xf numFmtId="179" fontId="9" fillId="0" borderId="26" xfId="3" applyNumberFormat="1" applyFont="1" applyBorder="1" applyAlignment="1">
      <alignment horizontal="right"/>
    </xf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164" fontId="8" fillId="27" borderId="18" xfId="4" applyNumberFormat="1" applyFont="1" applyFill="1" applyBorder="1"/>
    <xf numFmtId="164" fontId="28" fillId="0" borderId="0" xfId="3" applyNumberFormat="1" applyFont="1" applyFill="1" applyBorder="1"/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164" fontId="8" fillId="6" borderId="8" xfId="3" applyNumberFormat="1" applyFont="1" applyFill="1" applyBorder="1"/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164" fontId="8" fillId="30" borderId="18" xfId="4" applyNumberFormat="1" applyFont="1" applyFill="1" applyBorder="1"/>
    <xf numFmtId="164" fontId="9" fillId="13" borderId="9" xfId="4" applyNumberFormat="1" applyFont="1" applyFill="1" applyBorder="1"/>
    <xf numFmtId="164" fontId="22" fillId="0" borderId="9" xfId="4" applyNumberFormat="1" applyFont="1" applyBorder="1"/>
    <xf numFmtId="167" fontId="9" fillId="13" borderId="9" xfId="4" applyNumberFormat="1" applyFont="1" applyFill="1" applyBorder="1"/>
    <xf numFmtId="167" fontId="22" fillId="0" borderId="9" xfId="4" applyNumberFormat="1" applyFont="1" applyBorder="1"/>
    <xf numFmtId="9" fontId="8" fillId="0" borderId="0" xfId="3" applyNumberFormat="1" applyFont="1" applyBorder="1"/>
    <xf numFmtId="43" fontId="8" fillId="0" borderId="0" xfId="1" applyFont="1" applyBorder="1"/>
    <xf numFmtId="0" fontId="8" fillId="0" borderId="0" xfId="3" quotePrefix="1" applyFont="1" applyBorder="1" applyAlignment="1">
      <alignment horizontal="right" indent="1"/>
    </xf>
    <xf numFmtId="0" fontId="9" fillId="0" borderId="0" xfId="3" applyFont="1" applyBorder="1"/>
    <xf numFmtId="43" fontId="8" fillId="0" borderId="0" xfId="3" applyNumberFormat="1" applyFont="1" applyBorder="1"/>
    <xf numFmtId="164" fontId="9" fillId="0" borderId="0" xfId="4" applyNumberFormat="1" applyFont="1" applyBorder="1"/>
    <xf numFmtId="168" fontId="9" fillId="0" borderId="0" xfId="3" applyNumberFormat="1" applyFont="1" applyBorder="1"/>
    <xf numFmtId="43" fontId="9" fillId="0" borderId="0" xfId="3" applyNumberFormat="1" applyFont="1" applyBorder="1"/>
    <xf numFmtId="0" fontId="65" fillId="0" borderId="77" xfId="0" applyFont="1" applyBorder="1" applyAlignment="1">
      <alignment vertical="center" wrapText="1"/>
    </xf>
    <xf numFmtId="0" fontId="65" fillId="36" borderId="80" xfId="0" applyFont="1" applyFill="1" applyBorder="1" applyAlignment="1">
      <alignment vertical="center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169" fontId="0" fillId="36" borderId="75" xfId="0" applyNumberFormat="1" applyFill="1" applyBorder="1" applyAlignment="1">
      <alignment vertical="center"/>
    </xf>
    <xf numFmtId="169" fontId="0" fillId="36" borderId="89" xfId="0" applyNumberFormat="1" applyFill="1" applyBorder="1" applyAlignment="1">
      <alignment vertical="center"/>
    </xf>
    <xf numFmtId="169" fontId="0" fillId="36" borderId="78" xfId="0" applyNumberFormat="1" applyFill="1" applyBorder="1" applyAlignment="1">
      <alignment vertical="center"/>
    </xf>
    <xf numFmtId="169" fontId="0" fillId="36" borderId="90" xfId="0" applyNumberFormat="1" applyFill="1" applyBorder="1" applyAlignment="1">
      <alignment vertical="center"/>
    </xf>
    <xf numFmtId="169" fontId="0" fillId="36" borderId="81" xfId="0" applyNumberFormat="1" applyFill="1" applyBorder="1" applyAlignment="1">
      <alignment vertical="center"/>
    </xf>
    <xf numFmtId="169" fontId="0" fillId="36" borderId="91" xfId="0" applyNumberFormat="1" applyFill="1" applyBorder="1" applyAlignment="1">
      <alignment vertical="center"/>
    </xf>
    <xf numFmtId="169" fontId="0" fillId="0" borderId="75" xfId="0" applyNumberFormat="1" applyBorder="1" applyAlignment="1">
      <alignment vertical="center"/>
    </xf>
    <xf numFmtId="169" fontId="0" fillId="0" borderId="89" xfId="0" applyNumberFormat="1" applyBorder="1" applyAlignment="1">
      <alignment vertical="center"/>
    </xf>
    <xf numFmtId="169" fontId="0" fillId="0" borderId="78" xfId="0" applyNumberFormat="1" applyBorder="1" applyAlignment="1">
      <alignment vertical="center"/>
    </xf>
    <xf numFmtId="169" fontId="0" fillId="0" borderId="90" xfId="0" applyNumberFormat="1" applyBorder="1" applyAlignment="1">
      <alignment vertical="center"/>
    </xf>
    <xf numFmtId="169" fontId="0" fillId="0" borderId="78" xfId="1" applyNumberFormat="1" applyFont="1" applyBorder="1" applyAlignment="1">
      <alignment vertical="center"/>
    </xf>
    <xf numFmtId="169" fontId="0" fillId="0" borderId="92" xfId="1" applyNumberFormat="1" applyFont="1" applyBorder="1" applyAlignment="1">
      <alignment vertical="center"/>
    </xf>
    <xf numFmtId="169" fontId="0" fillId="40" borderId="83" xfId="1" applyNumberFormat="1" applyFont="1" applyFill="1" applyBorder="1" applyAlignment="1">
      <alignment vertical="center"/>
    </xf>
    <xf numFmtId="169" fontId="0" fillId="40" borderId="88" xfId="1" applyNumberFormat="1" applyFont="1" applyFill="1" applyBorder="1" applyAlignment="1">
      <alignment vertical="center"/>
    </xf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43" fontId="8" fillId="12" borderId="0" xfId="3" applyNumberFormat="1" applyFont="1" applyFill="1"/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180" fontId="6" fillId="13" borderId="8" xfId="3" applyNumberFormat="1" applyFont="1" applyFill="1" applyBorder="1" applyAlignment="1" applyProtection="1">
      <alignment horizontal="center" vertical="center" wrapText="1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164" fontId="11" fillId="0" borderId="8" xfId="1" applyNumberFormat="1" applyFont="1" applyFill="1" applyBorder="1"/>
    <xf numFmtId="181" fontId="22" fillId="0" borderId="9" xfId="4" applyNumberFormat="1" applyFont="1" applyBorder="1"/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43" fontId="8" fillId="0" borderId="0" xfId="1" applyFont="1" applyAlignment="1">
      <alignment horizontal="center" vertical="center"/>
    </xf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182" fontId="8" fillId="0" borderId="0" xfId="3" applyNumberFormat="1" applyFont="1" applyFill="1" applyBorder="1"/>
    <xf numFmtId="0" fontId="10" fillId="0" borderId="8" xfId="3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43" fontId="8" fillId="7" borderId="0" xfId="3" applyNumberFormat="1" applyFont="1" applyFill="1"/>
    <xf numFmtId="0" fontId="33" fillId="9" borderId="8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left"/>
    </xf>
    <xf numFmtId="0" fontId="10" fillId="0" borderId="8" xfId="3" applyFont="1" applyFill="1" applyBorder="1" applyAlignment="1">
      <alignment horizontal="center" vertical="center"/>
    </xf>
    <xf numFmtId="0" fontId="6" fillId="31" borderId="3" xfId="0" applyFont="1" applyFill="1" applyBorder="1" applyAlignment="1">
      <alignment horizontal="center" vertical="center" wrapText="1"/>
    </xf>
    <xf numFmtId="0" fontId="0" fillId="0" borderId="48" xfId="0" applyBorder="1" applyAlignment="1">
      <alignment vertical="center" wrapText="1"/>
    </xf>
    <xf numFmtId="0" fontId="23" fillId="31" borderId="3" xfId="0" applyFont="1" applyFill="1" applyBorder="1" applyAlignment="1">
      <alignment horizontal="center" vertical="center" wrapText="1"/>
    </xf>
    <xf numFmtId="0" fontId="17" fillId="0" borderId="47" xfId="0" applyFont="1" applyBorder="1" applyAlignment="1">
      <alignment vertical="center" wrapText="1"/>
    </xf>
    <xf numFmtId="17" fontId="47" fillId="0" borderId="3" xfId="0" applyNumberFormat="1" applyFont="1" applyBorder="1" applyAlignment="1">
      <alignment horizontal="center" vertical="center" wrapText="1" readingOrder="1"/>
    </xf>
    <xf numFmtId="0" fontId="47" fillId="0" borderId="47" xfId="0" applyFont="1" applyBorder="1" applyAlignment="1">
      <alignment horizontal="center" vertical="center" wrapText="1" readingOrder="1"/>
    </xf>
    <xf numFmtId="0" fontId="47" fillId="0" borderId="48" xfId="0" applyFont="1" applyBorder="1" applyAlignment="1">
      <alignment horizontal="center" vertical="center" wrapText="1" readingOrder="1"/>
    </xf>
    <xf numFmtId="0" fontId="23" fillId="7" borderId="3" xfId="0" applyFont="1" applyFill="1" applyBorder="1" applyAlignment="1">
      <alignment horizontal="center" vertical="center" wrapText="1"/>
    </xf>
    <xf numFmtId="0" fontId="23" fillId="7" borderId="47" xfId="0" applyFont="1" applyFill="1" applyBorder="1" applyAlignment="1">
      <alignment horizontal="center" vertical="center" wrapText="1"/>
    </xf>
    <xf numFmtId="0" fontId="23" fillId="7" borderId="48" xfId="0" applyFont="1" applyFill="1" applyBorder="1" applyAlignment="1">
      <alignment horizontal="center" vertical="center" wrapText="1"/>
    </xf>
    <xf numFmtId="0" fontId="0" fillId="0" borderId="47" xfId="0" applyBorder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0" fillId="0" borderId="0" xfId="0" applyAlignment="1"/>
    <xf numFmtId="0" fontId="5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23" fillId="31" borderId="4" xfId="0" applyFont="1" applyFill="1" applyBorder="1" applyAlignment="1">
      <alignment horizontal="center" vertical="center" wrapText="1"/>
    </xf>
    <xf numFmtId="0" fontId="17" fillId="0" borderId="57" xfId="0" applyFont="1" applyBorder="1" applyAlignment="1">
      <alignment vertical="center" wrapText="1"/>
    </xf>
    <xf numFmtId="0" fontId="23" fillId="7" borderId="9" xfId="0" applyFont="1" applyFill="1" applyBorder="1" applyAlignment="1">
      <alignment horizontal="center" vertical="center" wrapText="1"/>
    </xf>
    <xf numFmtId="9" fontId="7" fillId="0" borderId="59" xfId="2" applyFont="1" applyBorder="1" applyAlignment="1">
      <alignment horizontal="center"/>
    </xf>
    <xf numFmtId="9" fontId="7" fillId="0" borderId="60" xfId="2" applyFont="1" applyBorder="1" applyAlignment="1">
      <alignment horizontal="center"/>
    </xf>
    <xf numFmtId="9" fontId="7" fillId="0" borderId="61" xfId="2" applyFont="1" applyBorder="1" applyAlignment="1">
      <alignment horizontal="center"/>
    </xf>
    <xf numFmtId="0" fontId="22" fillId="0" borderId="14" xfId="3" applyFont="1" applyBorder="1" applyAlignment="1">
      <alignment horizontal="center"/>
    </xf>
    <xf numFmtId="0" fontId="22" fillId="0" borderId="15" xfId="3" applyFont="1" applyBorder="1" applyAlignment="1">
      <alignment horizontal="center"/>
    </xf>
    <xf numFmtId="0" fontId="22" fillId="0" borderId="16" xfId="3" applyFont="1" applyBorder="1" applyAlignment="1">
      <alignment horizontal="center"/>
    </xf>
    <xf numFmtId="0" fontId="22" fillId="0" borderId="17" xfId="3" applyFont="1" applyBorder="1" applyAlignment="1">
      <alignment horizontal="center"/>
    </xf>
    <xf numFmtId="164" fontId="25" fillId="19" borderId="9" xfId="4" applyNumberFormat="1" applyFont="1" applyFill="1" applyBorder="1" applyAlignment="1">
      <alignment horizontal="center"/>
    </xf>
    <xf numFmtId="164" fontId="25" fillId="19" borderId="11" xfId="4" applyNumberFormat="1" applyFont="1" applyFill="1" applyBorder="1" applyAlignment="1">
      <alignment horizontal="center"/>
    </xf>
    <xf numFmtId="0" fontId="11" fillId="0" borderId="9" xfId="3" applyFont="1" applyFill="1" applyBorder="1" applyAlignment="1">
      <alignment horizontal="center" vertical="center"/>
    </xf>
    <xf numFmtId="0" fontId="11" fillId="0" borderId="10" xfId="3" applyFont="1" applyFill="1" applyBorder="1" applyAlignment="1">
      <alignment horizontal="center" vertical="center"/>
    </xf>
    <xf numFmtId="0" fontId="11" fillId="0" borderId="11" xfId="3" applyFont="1" applyFill="1" applyBorder="1" applyAlignment="1">
      <alignment horizontal="center" vertical="center"/>
    </xf>
    <xf numFmtId="0" fontId="10" fillId="0" borderId="8" xfId="3" applyFont="1" applyFill="1" applyBorder="1" applyAlignment="1">
      <alignment horizontal="center" vertical="center" wrapText="1"/>
    </xf>
    <xf numFmtId="0" fontId="10" fillId="0" borderId="8" xfId="3" applyFont="1" applyFill="1" applyBorder="1" applyAlignment="1">
      <alignment horizontal="center" vertical="center"/>
    </xf>
    <xf numFmtId="0" fontId="9" fillId="0" borderId="8" xfId="3" applyFont="1" applyBorder="1" applyAlignment="1">
      <alignment horizontal="center" wrapText="1"/>
    </xf>
    <xf numFmtId="164" fontId="14" fillId="9" borderId="12" xfId="3" applyNumberFormat="1" applyFont="1" applyFill="1" applyBorder="1" applyAlignment="1">
      <alignment horizontal="center" vertical="center"/>
    </xf>
    <xf numFmtId="164" fontId="14" fillId="9" borderId="13" xfId="3" applyNumberFormat="1" applyFont="1" applyFill="1" applyBorder="1" applyAlignment="1">
      <alignment horizontal="center" vertical="center"/>
    </xf>
    <xf numFmtId="164" fontId="14" fillId="9" borderId="20" xfId="3" applyNumberFormat="1" applyFont="1" applyFill="1" applyBorder="1" applyAlignment="1">
      <alignment horizontal="center" vertical="center"/>
    </xf>
    <xf numFmtId="164" fontId="15" fillId="9" borderId="12" xfId="3" applyNumberFormat="1" applyFont="1" applyFill="1" applyBorder="1" applyAlignment="1">
      <alignment horizontal="center" vertical="center"/>
    </xf>
    <xf numFmtId="164" fontId="15" fillId="9" borderId="13" xfId="3" applyNumberFormat="1" applyFont="1" applyFill="1" applyBorder="1" applyAlignment="1">
      <alignment horizontal="center" vertical="center"/>
    </xf>
    <xf numFmtId="164" fontId="15" fillId="9" borderId="20" xfId="3" applyNumberFormat="1" applyFont="1" applyFill="1" applyBorder="1" applyAlignment="1">
      <alignment horizontal="center" vertical="center"/>
    </xf>
    <xf numFmtId="164" fontId="14" fillId="9" borderId="1" xfId="3" applyNumberFormat="1" applyFont="1" applyFill="1" applyBorder="1" applyAlignment="1">
      <alignment horizontal="center" vertical="center"/>
    </xf>
    <xf numFmtId="164" fontId="15" fillId="9" borderId="1" xfId="3" applyNumberFormat="1" applyFont="1" applyFill="1" applyBorder="1" applyAlignment="1">
      <alignment horizontal="center" vertical="center"/>
    </xf>
    <xf numFmtId="164" fontId="26" fillId="0" borderId="8" xfId="3" applyNumberFormat="1" applyFont="1" applyFill="1" applyBorder="1" applyAlignment="1">
      <alignment horizontal="center" vertical="center" wrapText="1"/>
    </xf>
    <xf numFmtId="170" fontId="23" fillId="4" borderId="27" xfId="3" quotePrefix="1" applyNumberFormat="1" applyFont="1" applyFill="1" applyBorder="1" applyAlignment="1">
      <alignment horizontal="center"/>
    </xf>
    <xf numFmtId="170" fontId="23" fillId="4" borderId="28" xfId="3" quotePrefix="1" applyNumberFormat="1" applyFont="1" applyFill="1" applyBorder="1" applyAlignment="1">
      <alignment horizontal="center"/>
    </xf>
    <xf numFmtId="170" fontId="23" fillId="4" borderId="29" xfId="3" quotePrefix="1" applyNumberFormat="1" applyFont="1" applyFill="1" applyBorder="1" applyAlignment="1">
      <alignment horizontal="center"/>
    </xf>
    <xf numFmtId="164" fontId="14" fillId="9" borderId="8" xfId="3" applyNumberFormat="1" applyFont="1" applyFill="1" applyBorder="1" applyAlignment="1">
      <alignment horizontal="center" vertical="center"/>
    </xf>
    <xf numFmtId="0" fontId="39" fillId="4" borderId="30" xfId="3" applyFont="1" applyFill="1" applyBorder="1" applyAlignment="1">
      <alignment horizontal="center"/>
    </xf>
    <xf numFmtId="0" fontId="39" fillId="4" borderId="8" xfId="3" applyFont="1" applyFill="1" applyBorder="1" applyAlignment="1">
      <alignment horizontal="center"/>
    </xf>
    <xf numFmtId="0" fontId="39" fillId="4" borderId="31" xfId="3" applyFont="1" applyFill="1" applyBorder="1" applyAlignment="1">
      <alignment horizontal="center"/>
    </xf>
    <xf numFmtId="0" fontId="16" fillId="0" borderId="39" xfId="3" applyFont="1" applyFill="1" applyBorder="1" applyAlignment="1">
      <alignment horizontal="left"/>
    </xf>
    <xf numFmtId="0" fontId="16" fillId="0" borderId="10" xfId="3" applyFont="1" applyFill="1" applyBorder="1" applyAlignment="1">
      <alignment horizontal="left"/>
    </xf>
    <xf numFmtId="0" fontId="16" fillId="0" borderId="56" xfId="3" applyFont="1" applyFill="1" applyBorder="1" applyAlignment="1">
      <alignment horizontal="left"/>
    </xf>
    <xf numFmtId="0" fontId="16" fillId="0" borderId="58" xfId="3" applyFont="1" applyFill="1" applyBorder="1" applyAlignment="1">
      <alignment horizontal="left"/>
    </xf>
    <xf numFmtId="0" fontId="32" fillId="0" borderId="8" xfId="3" applyFont="1" applyFill="1" applyBorder="1" applyAlignment="1">
      <alignment horizontal="left"/>
    </xf>
    <xf numFmtId="0" fontId="33" fillId="9" borderId="8" xfId="3" applyFont="1" applyFill="1" applyBorder="1" applyAlignment="1">
      <alignment horizontal="center" vertical="center" wrapText="1"/>
    </xf>
    <xf numFmtId="0" fontId="33" fillId="9" borderId="9" xfId="3" applyFont="1" applyFill="1" applyBorder="1" applyAlignment="1">
      <alignment horizontal="center" vertical="center" wrapText="1"/>
    </xf>
    <xf numFmtId="0" fontId="33" fillId="9" borderId="10" xfId="3" applyFont="1" applyFill="1" applyBorder="1" applyAlignment="1">
      <alignment horizontal="center" vertical="center" wrapText="1"/>
    </xf>
    <xf numFmtId="0" fontId="33" fillId="9" borderId="11" xfId="3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39" fillId="6" borderId="34" xfId="3" applyFont="1" applyFill="1" applyBorder="1" applyAlignment="1">
      <alignment horizontal="center" vertical="center"/>
    </xf>
    <xf numFmtId="0" fontId="39" fillId="6" borderId="36" xfId="3" applyFont="1" applyFill="1" applyBorder="1" applyAlignment="1">
      <alignment horizontal="center" vertical="center"/>
    </xf>
    <xf numFmtId="0" fontId="23" fillId="6" borderId="34" xfId="3" applyFont="1" applyFill="1" applyBorder="1" applyAlignment="1">
      <alignment horizontal="center" vertical="center"/>
    </xf>
    <xf numFmtId="0" fontId="23" fillId="6" borderId="35" xfId="3" applyFont="1" applyFill="1" applyBorder="1" applyAlignment="1">
      <alignment horizontal="center" vertical="center"/>
    </xf>
    <xf numFmtId="0" fontId="23" fillId="6" borderId="36" xfId="3" applyFont="1" applyFill="1" applyBorder="1" applyAlignment="1">
      <alignment horizontal="center" vertical="center"/>
    </xf>
    <xf numFmtId="164" fontId="39" fillId="8" borderId="35" xfId="3" applyNumberFormat="1" applyFont="1" applyFill="1" applyBorder="1" applyAlignment="1">
      <alignment horizontal="center" vertical="center"/>
    </xf>
    <xf numFmtId="164" fontId="39" fillId="8" borderId="36" xfId="3" applyNumberFormat="1" applyFont="1" applyFill="1" applyBorder="1" applyAlignment="1">
      <alignment horizontal="center" vertical="center"/>
    </xf>
    <xf numFmtId="164" fontId="8" fillId="0" borderId="9" xfId="3" applyNumberFormat="1" applyFont="1" applyFill="1" applyBorder="1" applyAlignment="1">
      <alignment horizontal="center"/>
    </xf>
    <xf numFmtId="164" fontId="8" fillId="0" borderId="11" xfId="3" applyNumberFormat="1" applyFont="1" applyFill="1" applyBorder="1" applyAlignment="1">
      <alignment horizontal="center"/>
    </xf>
    <xf numFmtId="0" fontId="39" fillId="0" borderId="12" xfId="3" applyFont="1" applyFill="1" applyBorder="1" applyAlignment="1">
      <alignment horizontal="left" vertical="center"/>
    </xf>
    <xf numFmtId="0" fontId="39" fillId="0" borderId="13" xfId="3" applyFont="1" applyFill="1" applyBorder="1" applyAlignment="1">
      <alignment horizontal="left" vertical="center"/>
    </xf>
    <xf numFmtId="0" fontId="39" fillId="0" borderId="20" xfId="3" applyFont="1" applyFill="1" applyBorder="1" applyAlignment="1">
      <alignment horizontal="left" vertical="center"/>
    </xf>
    <xf numFmtId="0" fontId="39" fillId="0" borderId="21" xfId="3" applyFont="1" applyFill="1" applyBorder="1" applyAlignment="1">
      <alignment horizontal="left" vertical="center"/>
    </xf>
    <xf numFmtId="164" fontId="8" fillId="0" borderId="16" xfId="3" applyNumberFormat="1" applyFont="1" applyFill="1" applyBorder="1" applyAlignment="1">
      <alignment horizontal="center"/>
    </xf>
    <xf numFmtId="164" fontId="8" fillId="0" borderId="17" xfId="3" applyNumberFormat="1" applyFont="1" applyFill="1" applyBorder="1" applyAlignment="1">
      <alignment horizontal="center"/>
    </xf>
    <xf numFmtId="0" fontId="39" fillId="28" borderId="34" xfId="3" applyFont="1" applyFill="1" applyBorder="1" applyAlignment="1">
      <alignment horizontal="center" vertical="center"/>
    </xf>
    <xf numFmtId="0" fontId="39" fillId="28" borderId="35" xfId="3" applyFont="1" applyFill="1" applyBorder="1" applyAlignment="1">
      <alignment horizontal="center" vertical="center"/>
    </xf>
    <xf numFmtId="164" fontId="38" fillId="28" borderId="34" xfId="3" applyNumberFormat="1" applyFont="1" applyFill="1" applyBorder="1" applyAlignment="1">
      <alignment horizontal="center" vertical="center"/>
    </xf>
    <xf numFmtId="164" fontId="38" fillId="28" borderId="36" xfId="3" applyNumberFormat="1" applyFont="1" applyFill="1" applyBorder="1" applyAlignment="1">
      <alignment horizontal="center" vertical="center"/>
    </xf>
    <xf numFmtId="164" fontId="4" fillId="8" borderId="35" xfId="3" applyNumberFormat="1" applyFont="1" applyFill="1" applyBorder="1" applyAlignment="1">
      <alignment horizontal="center" vertical="center"/>
    </xf>
    <xf numFmtId="164" fontId="4" fillId="8" borderId="36" xfId="3" applyNumberFormat="1" applyFont="1" applyFill="1" applyBorder="1" applyAlignment="1">
      <alignment horizontal="center" vertical="center"/>
    </xf>
    <xf numFmtId="164" fontId="12" fillId="0" borderId="9" xfId="4" applyNumberFormat="1" applyFont="1" applyFill="1" applyBorder="1" applyAlignment="1">
      <alignment horizontal="center"/>
    </xf>
    <xf numFmtId="164" fontId="12" fillId="0" borderId="11" xfId="4" applyNumberFormat="1" applyFont="1" applyFill="1" applyBorder="1" applyAlignment="1">
      <alignment horizontal="center"/>
    </xf>
    <xf numFmtId="164" fontId="23" fillId="0" borderId="13" xfId="4" applyNumberFormat="1" applyFont="1" applyFill="1" applyBorder="1" applyAlignment="1">
      <alignment horizontal="left" vertical="center"/>
    </xf>
    <xf numFmtId="164" fontId="23" fillId="0" borderId="21" xfId="4" applyNumberFormat="1" applyFont="1" applyFill="1" applyBorder="1" applyAlignment="1">
      <alignment horizontal="left" vertical="center"/>
    </xf>
    <xf numFmtId="164" fontId="8" fillId="0" borderId="46" xfId="3" applyNumberFormat="1" applyFont="1" applyFill="1" applyBorder="1" applyAlignment="1">
      <alignment horizontal="center"/>
    </xf>
    <xf numFmtId="0" fontId="8" fillId="0" borderId="23" xfId="3" applyFont="1" applyFill="1" applyBorder="1" applyAlignment="1">
      <alignment horizontal="center"/>
    </xf>
    <xf numFmtId="164" fontId="38" fillId="28" borderId="34" xfId="3" applyNumberFormat="1" applyFont="1" applyFill="1" applyBorder="1" applyAlignment="1">
      <alignment horizontal="center"/>
    </xf>
    <xf numFmtId="164" fontId="38" fillId="28" borderId="36" xfId="3" applyNumberFormat="1" applyFont="1" applyFill="1" applyBorder="1" applyAlignment="1">
      <alignment horizontal="center"/>
    </xf>
    <xf numFmtId="0" fontId="7" fillId="6" borderId="34" xfId="3" applyFont="1" applyFill="1" applyBorder="1" applyAlignment="1">
      <alignment horizontal="center" vertical="center"/>
    </xf>
    <xf numFmtId="0" fontId="7" fillId="6" borderId="35" xfId="3" applyFont="1" applyFill="1" applyBorder="1" applyAlignment="1">
      <alignment horizontal="center" vertical="center"/>
    </xf>
    <xf numFmtId="0" fontId="7" fillId="6" borderId="36" xfId="3" applyFont="1" applyFill="1" applyBorder="1" applyAlignment="1">
      <alignment horizontal="center" vertical="center"/>
    </xf>
    <xf numFmtId="164" fontId="23" fillId="0" borderId="3" xfId="4" applyNumberFormat="1" applyFont="1" applyFill="1" applyBorder="1" applyAlignment="1">
      <alignment horizontal="left" vertical="center"/>
    </xf>
    <xf numFmtId="164" fontId="23" fillId="0" borderId="47" xfId="4" applyNumberFormat="1" applyFont="1" applyFill="1" applyBorder="1" applyAlignment="1">
      <alignment horizontal="left" vertical="center"/>
    </xf>
    <xf numFmtId="164" fontId="23" fillId="0" borderId="48" xfId="4" applyNumberFormat="1" applyFont="1" applyFill="1" applyBorder="1" applyAlignment="1">
      <alignment horizontal="left" vertical="center"/>
    </xf>
    <xf numFmtId="164" fontId="8" fillId="0" borderId="46" xfId="3" applyNumberFormat="1" applyFont="1" applyBorder="1" applyAlignment="1">
      <alignment horizontal="center"/>
    </xf>
    <xf numFmtId="0" fontId="8" fillId="0" borderId="29" xfId="3" applyFont="1" applyBorder="1" applyAlignment="1">
      <alignment horizontal="center"/>
    </xf>
    <xf numFmtId="164" fontId="8" fillId="0" borderId="9" xfId="3" applyNumberFormat="1" applyFont="1" applyBorder="1" applyAlignment="1">
      <alignment horizontal="center"/>
    </xf>
    <xf numFmtId="0" fontId="8" fillId="0" borderId="40" xfId="3" applyFont="1" applyBorder="1" applyAlignment="1">
      <alignment horizontal="center"/>
    </xf>
    <xf numFmtId="164" fontId="8" fillId="0" borderId="19" xfId="3" applyNumberFormat="1" applyFont="1" applyBorder="1" applyAlignment="1">
      <alignment horizontal="center"/>
    </xf>
    <xf numFmtId="0" fontId="8" fillId="0" borderId="41" xfId="3" applyFont="1" applyBorder="1" applyAlignment="1">
      <alignment horizontal="center"/>
    </xf>
    <xf numFmtId="0" fontId="39" fillId="28" borderId="36" xfId="3" applyFont="1" applyFill="1" applyBorder="1" applyAlignment="1">
      <alignment horizontal="center" vertical="center"/>
    </xf>
    <xf numFmtId="164" fontId="39" fillId="28" borderId="35" xfId="3" applyNumberFormat="1" applyFont="1" applyFill="1" applyBorder="1" applyAlignment="1">
      <alignment horizontal="center" vertical="center"/>
    </xf>
    <xf numFmtId="0" fontId="39" fillId="0" borderId="34" xfId="3" applyFont="1" applyBorder="1" applyAlignment="1">
      <alignment horizontal="center"/>
    </xf>
    <xf numFmtId="0" fontId="39" fillId="0" borderId="35" xfId="3" applyFont="1" applyBorder="1" applyAlignment="1">
      <alignment horizontal="center"/>
    </xf>
    <xf numFmtId="164" fontId="39" fillId="0" borderId="34" xfId="3" applyNumberFormat="1" applyFont="1" applyBorder="1" applyAlignment="1">
      <alignment horizontal="center"/>
    </xf>
    <xf numFmtId="0" fontId="39" fillId="0" borderId="36" xfId="3" applyFont="1" applyBorder="1" applyAlignment="1">
      <alignment horizontal="center"/>
    </xf>
    <xf numFmtId="0" fontId="39" fillId="0" borderId="3" xfId="3" applyFont="1" applyFill="1" applyBorder="1" applyAlignment="1">
      <alignment horizontal="left" vertical="center"/>
    </xf>
    <xf numFmtId="0" fontId="39" fillId="0" borderId="47" xfId="3" applyFont="1" applyFill="1" applyBorder="1" applyAlignment="1">
      <alignment horizontal="left" vertical="center"/>
    </xf>
    <xf numFmtId="0" fontId="39" fillId="0" borderId="48" xfId="3" applyFont="1" applyFill="1" applyBorder="1" applyAlignment="1">
      <alignment horizontal="left" vertical="center"/>
    </xf>
    <xf numFmtId="0" fontId="0" fillId="36" borderId="3" xfId="0" applyFill="1" applyBorder="1" applyAlignment="1">
      <alignment horizontal="center" vertical="center" wrapText="1"/>
    </xf>
    <xf numFmtId="0" fontId="0" fillId="36" borderId="47" xfId="0" applyFill="1" applyBorder="1" applyAlignment="1">
      <alignment horizontal="center" vertical="center" wrapText="1"/>
    </xf>
    <xf numFmtId="0" fontId="0" fillId="36" borderId="48" xfId="0" applyFill="1" applyBorder="1" applyAlignment="1">
      <alignment horizontal="center" vertical="center" wrapText="1"/>
    </xf>
    <xf numFmtId="9" fontId="7" fillId="0" borderId="0" xfId="2" applyFont="1" applyFill="1" applyBorder="1" applyAlignment="1">
      <alignment horizontal="center"/>
    </xf>
    <xf numFmtId="0" fontId="9" fillId="0" borderId="9" xfId="3" applyFont="1" applyBorder="1" applyAlignment="1">
      <alignment horizontal="center" wrapText="1"/>
    </xf>
    <xf numFmtId="164" fontId="15" fillId="12" borderId="1" xfId="3" applyNumberFormat="1" applyFont="1" applyFill="1" applyBorder="1" applyAlignment="1">
      <alignment horizontal="center" vertical="center"/>
    </xf>
    <xf numFmtId="164" fontId="15" fillId="12" borderId="13" xfId="3" applyNumberFormat="1" applyFont="1" applyFill="1" applyBorder="1" applyAlignment="1">
      <alignment horizontal="center" vertical="center"/>
    </xf>
    <xf numFmtId="164" fontId="15" fillId="12" borderId="20" xfId="3" applyNumberFormat="1" applyFont="1" applyFill="1" applyBorder="1" applyAlignment="1">
      <alignment horizontal="center" vertical="center"/>
    </xf>
    <xf numFmtId="0" fontId="55" fillId="32" borderId="3" xfId="0" applyFont="1" applyFill="1" applyBorder="1" applyAlignment="1">
      <alignment horizontal="center" vertical="center" wrapText="1"/>
    </xf>
    <xf numFmtId="0" fontId="58" fillId="32" borderId="48" xfId="0" applyFont="1" applyFill="1" applyBorder="1" applyAlignment="1">
      <alignment vertical="center" wrapText="1"/>
    </xf>
    <xf numFmtId="0" fontId="58" fillId="32" borderId="47" xfId="0" applyFont="1" applyFill="1" applyBorder="1" applyAlignment="1">
      <alignment vertical="center" wrapText="1"/>
    </xf>
    <xf numFmtId="0" fontId="56" fillId="32" borderId="4" xfId="0" applyFont="1" applyFill="1" applyBorder="1" applyAlignment="1">
      <alignment horizontal="center" vertical="center" wrapText="1"/>
    </xf>
    <xf numFmtId="0" fontId="59" fillId="32" borderId="57" xfId="0" applyFont="1" applyFill="1" applyBorder="1" applyAlignment="1">
      <alignment vertical="center" wrapText="1"/>
    </xf>
    <xf numFmtId="178" fontId="5" fillId="0" borderId="3" xfId="0" applyNumberFormat="1" applyFont="1" applyBorder="1" applyAlignment="1">
      <alignment horizontal="center" vertical="center" wrapText="1" readingOrder="1"/>
    </xf>
    <xf numFmtId="178" fontId="5" fillId="0" borderId="47" xfId="0" applyNumberFormat="1" applyFont="1" applyBorder="1" applyAlignment="1">
      <alignment horizontal="center" vertical="center" wrapText="1" readingOrder="1"/>
    </xf>
    <xf numFmtId="178" fontId="5" fillId="0" borderId="48" xfId="0" applyNumberFormat="1" applyFont="1" applyBorder="1" applyAlignment="1">
      <alignment horizontal="center" vertical="center" wrapText="1" readingOrder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47" xfId="0" applyFont="1" applyFill="1" applyBorder="1" applyAlignment="1">
      <alignment horizontal="center" vertical="center" wrapText="1"/>
    </xf>
    <xf numFmtId="0" fontId="63" fillId="12" borderId="48" xfId="0" applyFont="1" applyFill="1" applyBorder="1" applyAlignment="1">
      <alignment horizontal="center" vertical="center" wrapText="1"/>
    </xf>
    <xf numFmtId="0" fontId="23" fillId="0" borderId="0" xfId="0" applyFont="1" applyAlignment="1">
      <alignment wrapText="1"/>
    </xf>
    <xf numFmtId="164" fontId="8" fillId="0" borderId="0" xfId="4" applyNumberFormat="1" applyFont="1" applyBorder="1"/>
    <xf numFmtId="170" fontId="23" fillId="4" borderId="8" xfId="3" quotePrefix="1" applyNumberFormat="1" applyFont="1" applyFill="1" applyBorder="1" applyAlignment="1">
      <alignment horizontal="center"/>
    </xf>
    <xf numFmtId="0" fontId="10" fillId="0" borderId="93" xfId="3" applyFont="1" applyFill="1" applyBorder="1" applyAlignment="1">
      <alignment horizontal="left"/>
    </xf>
    <xf numFmtId="3" fontId="9" fillId="0" borderId="17" xfId="3" applyNumberFormat="1" applyFont="1" applyFill="1" applyBorder="1"/>
    <xf numFmtId="3" fontId="9" fillId="0" borderId="11" xfId="3" applyNumberFormat="1" applyFont="1" applyFill="1" applyBorder="1"/>
    <xf numFmtId="3" fontId="9" fillId="0" borderId="94" xfId="3" applyNumberFormat="1" applyFont="1" applyFill="1" applyBorder="1"/>
  </cellXfs>
  <cellStyles count="470">
    <cellStyle name="=C:\WINNT35\SYSTEM32\COMMAND.COM" xfId="10"/>
    <cellStyle name="=C:\WINNT35\SYSTEM32\COMMAND.COM 2" xfId="11"/>
    <cellStyle name="=C:\WINNT35\SYSTEM32\COMMAND.COM 3" xfId="12"/>
    <cellStyle name="=C:\WINNT35\SYSTEM32\COMMAND.COM_Record" xfId="13"/>
    <cellStyle name="Accent1 2" xfId="9"/>
    <cellStyle name="Accent1 2 2" xfId="14"/>
    <cellStyle name="Accent1 3" xfId="15"/>
    <cellStyle name="Accent4 2" xfId="16"/>
    <cellStyle name="Accent4 3" xfId="17"/>
    <cellStyle name="Comma" xfId="1" builtinId="3"/>
    <cellStyle name="Comma 2" xfId="8"/>
    <cellStyle name="Comma 2 2" xfId="18"/>
    <cellStyle name="Comma 2 3" xfId="19"/>
    <cellStyle name="Comma 2 4" xfId="20"/>
    <cellStyle name="Comma 2 5" xfId="21"/>
    <cellStyle name="Comma 3" xfId="22"/>
    <cellStyle name="Comma 4" xfId="4"/>
    <cellStyle name="Comma 4 2" xfId="23"/>
    <cellStyle name="Comma 5" xfId="6"/>
    <cellStyle name="Comma 5 2" xfId="24"/>
    <cellStyle name="Euro" xfId="25"/>
    <cellStyle name="Euro 2" xfId="26"/>
    <cellStyle name="Euro 2 2" xfId="27"/>
    <cellStyle name="Euro 2 3" xfId="28"/>
    <cellStyle name="Euro 2 4" xfId="29"/>
    <cellStyle name="Euro 2 5" xfId="30"/>
    <cellStyle name="Euro 2 6" xfId="31"/>
    <cellStyle name="Euro 3" xfId="32"/>
    <cellStyle name="Euro 3 2" xfId="33"/>
    <cellStyle name="Euro 4" xfId="34"/>
    <cellStyle name="Euro 5" xfId="35"/>
    <cellStyle name="Euro 6" xfId="36"/>
    <cellStyle name="Millares [0] 2" xfId="37"/>
    <cellStyle name="Millares [0] 2 2" xfId="38"/>
    <cellStyle name="Millares 10" xfId="39"/>
    <cellStyle name="Millares 11" xfId="40"/>
    <cellStyle name="Millares 12" xfId="41"/>
    <cellStyle name="Millares 13" xfId="42"/>
    <cellStyle name="Millares 14" xfId="43"/>
    <cellStyle name="Millares 15" xfId="44"/>
    <cellStyle name="Millares 15 2" xfId="45"/>
    <cellStyle name="Millares 15 2 2" xfId="46"/>
    <cellStyle name="Millares 15 3" xfId="47"/>
    <cellStyle name="Millares 16" xfId="48"/>
    <cellStyle name="Millares 16 2" xfId="49"/>
    <cellStyle name="Millares 2" xfId="50"/>
    <cellStyle name="Millares 2 2" xfId="51"/>
    <cellStyle name="Millares 2 2 10" xfId="52"/>
    <cellStyle name="Millares 2 2 10 2" xfId="53"/>
    <cellStyle name="Millares 2 2 11" xfId="54"/>
    <cellStyle name="Millares 2 2 11 2" xfId="55"/>
    <cellStyle name="Millares 2 2 12" xfId="56"/>
    <cellStyle name="Millares 2 2 2" xfId="57"/>
    <cellStyle name="Millares 2 2 2 2" xfId="58"/>
    <cellStyle name="Millares 2 2 2 2 2" xfId="59"/>
    <cellStyle name="Millares 2 2 2 3" xfId="60"/>
    <cellStyle name="Millares 2 2 3" xfId="61"/>
    <cellStyle name="Millares 2 2 3 2" xfId="62"/>
    <cellStyle name="Millares 2 2 3 2 2" xfId="63"/>
    <cellStyle name="Millares 2 2 3 3" xfId="64"/>
    <cellStyle name="Millares 2 2 4" xfId="65"/>
    <cellStyle name="Millares 2 2 4 2" xfId="66"/>
    <cellStyle name="Millares 2 2 4 2 2" xfId="67"/>
    <cellStyle name="Millares 2 2 4 3" xfId="68"/>
    <cellStyle name="Millares 2 2 5" xfId="69"/>
    <cellStyle name="Millares 2 2 5 2" xfId="70"/>
    <cellStyle name="Millares 2 2 5 2 2" xfId="71"/>
    <cellStyle name="Millares 2 2 5 3" xfId="72"/>
    <cellStyle name="Millares 2 2 6" xfId="73"/>
    <cellStyle name="Millares 2 2 6 2" xfId="74"/>
    <cellStyle name="Millares 2 2 6 2 2" xfId="75"/>
    <cellStyle name="Millares 2 2 6 3" xfId="76"/>
    <cellStyle name="Millares 2 2 7" xfId="77"/>
    <cellStyle name="Millares 2 2 7 2" xfId="78"/>
    <cellStyle name="Millares 2 2 7 2 2" xfId="79"/>
    <cellStyle name="Millares 2 2 7 3" xfId="80"/>
    <cellStyle name="Millares 2 2 8" xfId="81"/>
    <cellStyle name="Millares 2 2 8 2" xfId="82"/>
    <cellStyle name="Millares 2 2 8 2 2" xfId="83"/>
    <cellStyle name="Millares 2 2 8 3" xfId="84"/>
    <cellStyle name="Millares 2 2 9" xfId="85"/>
    <cellStyle name="Millares 2 2 9 2" xfId="86"/>
    <cellStyle name="Millares 2 3" xfId="87"/>
    <cellStyle name="Millares 2 3 10" xfId="88"/>
    <cellStyle name="Millares 2 3 10 2" xfId="89"/>
    <cellStyle name="Millares 2 3 11" xfId="90"/>
    <cellStyle name="Millares 2 3 11 2" xfId="91"/>
    <cellStyle name="Millares 2 3 12" xfId="92"/>
    <cellStyle name="Millares 2 3 2" xfId="93"/>
    <cellStyle name="Millares 2 3 2 2" xfId="94"/>
    <cellStyle name="Millares 2 3 2 2 2" xfId="95"/>
    <cellStyle name="Millares 2 3 2 3" xfId="96"/>
    <cellStyle name="Millares 2 3 3" xfId="97"/>
    <cellStyle name="Millares 2 3 3 2" xfId="98"/>
    <cellStyle name="Millares 2 3 3 2 2" xfId="99"/>
    <cellStyle name="Millares 2 3 3 3" xfId="100"/>
    <cellStyle name="Millares 2 3 4" xfId="101"/>
    <cellStyle name="Millares 2 3 4 2" xfId="102"/>
    <cellStyle name="Millares 2 3 4 2 2" xfId="103"/>
    <cellStyle name="Millares 2 3 4 3" xfId="104"/>
    <cellStyle name="Millares 2 3 5" xfId="105"/>
    <cellStyle name="Millares 2 3 5 2" xfId="106"/>
    <cellStyle name="Millares 2 3 5 2 2" xfId="107"/>
    <cellStyle name="Millares 2 3 5 3" xfId="108"/>
    <cellStyle name="Millares 2 3 6" xfId="109"/>
    <cellStyle name="Millares 2 3 6 2" xfId="110"/>
    <cellStyle name="Millares 2 3 6 2 2" xfId="111"/>
    <cellStyle name="Millares 2 3 6 3" xfId="112"/>
    <cellStyle name="Millares 2 3 7" xfId="113"/>
    <cellStyle name="Millares 2 3 7 2" xfId="114"/>
    <cellStyle name="Millares 2 3 7 2 2" xfId="115"/>
    <cellStyle name="Millares 2 3 7 3" xfId="116"/>
    <cellStyle name="Millares 2 3 8" xfId="117"/>
    <cellStyle name="Millares 2 3 8 2" xfId="118"/>
    <cellStyle name="Millares 2 3 8 2 2" xfId="119"/>
    <cellStyle name="Millares 2 3 8 3" xfId="120"/>
    <cellStyle name="Millares 2 3 9" xfId="121"/>
    <cellStyle name="Millares 2 3 9 2" xfId="122"/>
    <cellStyle name="Millares 2 4" xfId="123"/>
    <cellStyle name="Millares 2 4 2" xfId="124"/>
    <cellStyle name="Millares 2 5" xfId="125"/>
    <cellStyle name="Millares 2 6" xfId="126"/>
    <cellStyle name="Millares 3" xfId="127"/>
    <cellStyle name="Millares 4" xfId="128"/>
    <cellStyle name="Millares 5" xfId="129"/>
    <cellStyle name="Millares 6" xfId="130"/>
    <cellStyle name="Millares 7" xfId="131"/>
    <cellStyle name="Millares 8" xfId="132"/>
    <cellStyle name="Millares 9" xfId="133"/>
    <cellStyle name="Normal" xfId="0" builtinId="0"/>
    <cellStyle name="Normal 10" xfId="134"/>
    <cellStyle name="Normal 10 2" xfId="135"/>
    <cellStyle name="Normal 10 2 2" xfId="136"/>
    <cellStyle name="Normal 10 3" xfId="137"/>
    <cellStyle name="Normal 10 4" xfId="138"/>
    <cellStyle name="Normal 10 4 2" xfId="139"/>
    <cellStyle name="Normal 10 4 3" xfId="140"/>
    <cellStyle name="Normal 10 5" xfId="141"/>
    <cellStyle name="Normal 10 5 2" xfId="142"/>
    <cellStyle name="Normal 10 6" xfId="143"/>
    <cellStyle name="Normal 11" xfId="144"/>
    <cellStyle name="Normal 11 2" xfId="145"/>
    <cellStyle name="Normal 11 3" xfId="146"/>
    <cellStyle name="Normal 11 3 2" xfId="147"/>
    <cellStyle name="Normal 11 3 3" xfId="148"/>
    <cellStyle name="Normal 11 4" xfId="149"/>
    <cellStyle name="Normal 11 4 2" xfId="150"/>
    <cellStyle name="Normal 11 5" xfId="151"/>
    <cellStyle name="Normal 11 6" xfId="152"/>
    <cellStyle name="Normal 12" xfId="153"/>
    <cellStyle name="Normal 12 2" xfId="154"/>
    <cellStyle name="Normal 12 3" xfId="155"/>
    <cellStyle name="Normal 12 4" xfId="156"/>
    <cellStyle name="Normal 12 5" xfId="157"/>
    <cellStyle name="Normal 12 6" xfId="158"/>
    <cellStyle name="Normal 13" xfId="159"/>
    <cellStyle name="Normal 13 2" xfId="160"/>
    <cellStyle name="Normal 13 2 2" xfId="161"/>
    <cellStyle name="Normal 13 3" xfId="162"/>
    <cellStyle name="Normal 14" xfId="163"/>
    <cellStyle name="Normal 14 2" xfId="164"/>
    <cellStyle name="Normal 14 2 2" xfId="165"/>
    <cellStyle name="Normal 14 3" xfId="166"/>
    <cellStyle name="Normal 15" xfId="167"/>
    <cellStyle name="Normal 15 2" xfId="168"/>
    <cellStyle name="Normal 15 2 2" xfId="169"/>
    <cellStyle name="Normal 15 3" xfId="170"/>
    <cellStyle name="Normal 16" xfId="171"/>
    <cellStyle name="Normal 16 2" xfId="172"/>
    <cellStyle name="Normal 16 2 2" xfId="173"/>
    <cellStyle name="Normal 16 3" xfId="174"/>
    <cellStyle name="Normal 17" xfId="175"/>
    <cellStyle name="Normal 17 2" xfId="176"/>
    <cellStyle name="Normal 17 2 2" xfId="177"/>
    <cellStyle name="Normal 17 3" xfId="178"/>
    <cellStyle name="Normal 18" xfId="179"/>
    <cellStyle name="Normal 18 2" xfId="180"/>
    <cellStyle name="Normal 19" xfId="181"/>
    <cellStyle name="Normal 19 2" xfId="182"/>
    <cellStyle name="Normal 2" xfId="3"/>
    <cellStyle name="Normal 2 10" xfId="183"/>
    <cellStyle name="Normal 2 2" xfId="184"/>
    <cellStyle name="Normal 2 2 2" xfId="185"/>
    <cellStyle name="Normal 2 2 3" xfId="186"/>
    <cellStyle name="Normal 2 3" xfId="187"/>
    <cellStyle name="Normal 2 3 2" xfId="188"/>
    <cellStyle name="Normal 2 4" xfId="189"/>
    <cellStyle name="Normal 2 4 2" xfId="190"/>
    <cellStyle name="Normal 2 5" xfId="191"/>
    <cellStyle name="Normal 2 6" xfId="192"/>
    <cellStyle name="Normal 2 6 2" xfId="193"/>
    <cellStyle name="Normal 2 7" xfId="194"/>
    <cellStyle name="Normal 2 8" xfId="195"/>
    <cellStyle name="Normal 2 9" xfId="196"/>
    <cellStyle name="Normal 20" xfId="197"/>
    <cellStyle name="Normal 20 2" xfId="198"/>
    <cellStyle name="Normal 21" xfId="199"/>
    <cellStyle name="Normal 21 2" xfId="200"/>
    <cellStyle name="Normal 22" xfId="201"/>
    <cellStyle name="Normal 22 2" xfId="202"/>
    <cellStyle name="Normal 23" xfId="203"/>
    <cellStyle name="Normal 23 2" xfId="204"/>
    <cellStyle name="Normal 23 2 2" xfId="205"/>
    <cellStyle name="Normal 23 3" xfId="206"/>
    <cellStyle name="Normal 24" xfId="207"/>
    <cellStyle name="Normal 24 2" xfId="208"/>
    <cellStyle name="Normal 24 3" xfId="209"/>
    <cellStyle name="Normal 25" xfId="210"/>
    <cellStyle name="Normal 26" xfId="211"/>
    <cellStyle name="Normal 26 2" xfId="212"/>
    <cellStyle name="Normal 27" xfId="213"/>
    <cellStyle name="Normal 28" xfId="214"/>
    <cellStyle name="Normal 29" xfId="469"/>
    <cellStyle name="Normal 3" xfId="215"/>
    <cellStyle name="Normal 3 2" xfId="216"/>
    <cellStyle name="Normal 3 2 2" xfId="217"/>
    <cellStyle name="Normal 3 2 3" xfId="218"/>
    <cellStyle name="Normal 3 2 4" xfId="219"/>
    <cellStyle name="Normal 3 3" xfId="220"/>
    <cellStyle name="Normal 3 3 2" xfId="221"/>
    <cellStyle name="Normal 3 3 3" xfId="222"/>
    <cellStyle name="Normal 3 4" xfId="223"/>
    <cellStyle name="Normal 3_Día 06" xfId="224"/>
    <cellStyle name="Normal 4" xfId="225"/>
    <cellStyle name="Normal 4 2" xfId="226"/>
    <cellStyle name="Normal 4 2 10" xfId="227"/>
    <cellStyle name="Normal 4 2 10 2" xfId="228"/>
    <cellStyle name="Normal 4 2 11" xfId="229"/>
    <cellStyle name="Normal 4 2 11 2" xfId="230"/>
    <cellStyle name="Normal 4 2 12" xfId="231"/>
    <cellStyle name="Normal 4 2 13" xfId="232"/>
    <cellStyle name="Normal 4 2 2" xfId="233"/>
    <cellStyle name="Normal 4 2 2 2" xfId="234"/>
    <cellStyle name="Normal 4 2 2 2 2" xfId="235"/>
    <cellStyle name="Normal 4 2 2 3" xfId="236"/>
    <cellStyle name="Normal 4 2 3" xfId="237"/>
    <cellStyle name="Normal 4 2 3 2" xfId="238"/>
    <cellStyle name="Normal 4 2 3 2 2" xfId="239"/>
    <cellStyle name="Normal 4 2 3 3" xfId="240"/>
    <cellStyle name="Normal 4 2 4" xfId="241"/>
    <cellStyle name="Normal 4 2 4 2" xfId="242"/>
    <cellStyle name="Normal 4 2 4 2 2" xfId="243"/>
    <cellStyle name="Normal 4 2 4 3" xfId="244"/>
    <cellStyle name="Normal 4 2 5" xfId="245"/>
    <cellStyle name="Normal 4 2 5 2" xfId="246"/>
    <cellStyle name="Normal 4 2 5 2 2" xfId="247"/>
    <cellStyle name="Normal 4 2 5 3" xfId="248"/>
    <cellStyle name="Normal 4 2 6" xfId="249"/>
    <cellStyle name="Normal 4 2 6 2" xfId="250"/>
    <cellStyle name="Normal 4 2 6 2 2" xfId="251"/>
    <cellStyle name="Normal 4 2 6 3" xfId="252"/>
    <cellStyle name="Normal 4 2 7" xfId="253"/>
    <cellStyle name="Normal 4 2 7 2" xfId="254"/>
    <cellStyle name="Normal 4 2 7 2 2" xfId="255"/>
    <cellStyle name="Normal 4 2 7 3" xfId="256"/>
    <cellStyle name="Normal 4 2 8" xfId="257"/>
    <cellStyle name="Normal 4 2 8 2" xfId="258"/>
    <cellStyle name="Normal 4 2 8 2 2" xfId="259"/>
    <cellStyle name="Normal 4 2 8 3" xfId="260"/>
    <cellStyle name="Normal 4 2 9" xfId="261"/>
    <cellStyle name="Normal 4 2 9 2" xfId="262"/>
    <cellStyle name="Normal 4 3" xfId="263"/>
    <cellStyle name="Normal 4 3 10" xfId="264"/>
    <cellStyle name="Normal 4 3 10 2" xfId="265"/>
    <cellStyle name="Normal 4 3 11" xfId="266"/>
    <cellStyle name="Normal 4 3 11 2" xfId="267"/>
    <cellStyle name="Normal 4 3 12" xfId="268"/>
    <cellStyle name="Normal 4 3 2" xfId="269"/>
    <cellStyle name="Normal 4 3 2 2" xfId="270"/>
    <cellStyle name="Normal 4 3 2 2 2" xfId="271"/>
    <cellStyle name="Normal 4 3 2 3" xfId="272"/>
    <cellStyle name="Normal 4 3 3" xfId="273"/>
    <cellStyle name="Normal 4 3 3 2" xfId="274"/>
    <cellStyle name="Normal 4 3 3 2 2" xfId="275"/>
    <cellStyle name="Normal 4 3 3 3" xfId="276"/>
    <cellStyle name="Normal 4 3 4" xfId="277"/>
    <cellStyle name="Normal 4 3 4 2" xfId="278"/>
    <cellStyle name="Normal 4 3 4 2 2" xfId="279"/>
    <cellStyle name="Normal 4 3 4 3" xfId="280"/>
    <cellStyle name="Normal 4 3 5" xfId="281"/>
    <cellStyle name="Normal 4 3 5 2" xfId="282"/>
    <cellStyle name="Normal 4 3 5 2 2" xfId="283"/>
    <cellStyle name="Normal 4 3 5 3" xfId="284"/>
    <cellStyle name="Normal 4 3 6" xfId="285"/>
    <cellStyle name="Normal 4 3 6 2" xfId="286"/>
    <cellStyle name="Normal 4 3 6 2 2" xfId="287"/>
    <cellStyle name="Normal 4 3 6 3" xfId="288"/>
    <cellStyle name="Normal 4 3 7" xfId="289"/>
    <cellStyle name="Normal 4 3 7 2" xfId="290"/>
    <cellStyle name="Normal 4 3 7 2 2" xfId="291"/>
    <cellStyle name="Normal 4 3 7 3" xfId="292"/>
    <cellStyle name="Normal 4 3 8" xfId="293"/>
    <cellStyle name="Normal 4 3 8 2" xfId="294"/>
    <cellStyle name="Normal 4 3 8 2 2" xfId="295"/>
    <cellStyle name="Normal 4 3 8 3" xfId="296"/>
    <cellStyle name="Normal 4 3 9" xfId="297"/>
    <cellStyle name="Normal 4 3 9 2" xfId="298"/>
    <cellStyle name="Normal 4 4" xfId="299"/>
    <cellStyle name="Normal 4 4 2" xfId="300"/>
    <cellStyle name="Normal 4 5" xfId="301"/>
    <cellStyle name="Normal 4 6" xfId="302"/>
    <cellStyle name="Normal 4 7" xfId="303"/>
    <cellStyle name="Normal 5" xfId="304"/>
    <cellStyle name="Normal 5 10" xfId="305"/>
    <cellStyle name="Normal 5 10 2" xfId="306"/>
    <cellStyle name="Normal 5 11" xfId="307"/>
    <cellStyle name="Normal 5 12" xfId="308"/>
    <cellStyle name="Normal 5 2" xfId="309"/>
    <cellStyle name="Normal 5 2 10" xfId="310"/>
    <cellStyle name="Normal 5 2 10 2" xfId="311"/>
    <cellStyle name="Normal 5 2 11" xfId="312"/>
    <cellStyle name="Normal 5 2 11 2" xfId="313"/>
    <cellStyle name="Normal 5 2 12" xfId="314"/>
    <cellStyle name="Normal 5 2 2" xfId="315"/>
    <cellStyle name="Normal 5 2 2 2" xfId="316"/>
    <cellStyle name="Normal 5 2 2 2 2" xfId="317"/>
    <cellStyle name="Normal 5 2 2 3" xfId="318"/>
    <cellStyle name="Normal 5 2 3" xfId="319"/>
    <cellStyle name="Normal 5 2 3 2" xfId="320"/>
    <cellStyle name="Normal 5 2 3 2 2" xfId="321"/>
    <cellStyle name="Normal 5 2 3 3" xfId="322"/>
    <cellStyle name="Normal 5 2 4" xfId="323"/>
    <cellStyle name="Normal 5 2 4 2" xfId="324"/>
    <cellStyle name="Normal 5 2 4 2 2" xfId="325"/>
    <cellStyle name="Normal 5 2 4 3" xfId="326"/>
    <cellStyle name="Normal 5 2 5" xfId="327"/>
    <cellStyle name="Normal 5 2 5 2" xfId="328"/>
    <cellStyle name="Normal 5 2 5 2 2" xfId="329"/>
    <cellStyle name="Normal 5 2 5 3" xfId="330"/>
    <cellStyle name="Normal 5 2 6" xfId="331"/>
    <cellStyle name="Normal 5 2 6 2" xfId="332"/>
    <cellStyle name="Normal 5 2 6 2 2" xfId="333"/>
    <cellStyle name="Normal 5 2 6 3" xfId="334"/>
    <cellStyle name="Normal 5 2 7" xfId="335"/>
    <cellStyle name="Normal 5 2 7 2" xfId="336"/>
    <cellStyle name="Normal 5 2 7 2 2" xfId="337"/>
    <cellStyle name="Normal 5 2 7 3" xfId="338"/>
    <cellStyle name="Normal 5 2 8" xfId="339"/>
    <cellStyle name="Normal 5 2 8 2" xfId="340"/>
    <cellStyle name="Normal 5 2 8 2 2" xfId="341"/>
    <cellStyle name="Normal 5 2 8 3" xfId="342"/>
    <cellStyle name="Normal 5 2 9" xfId="343"/>
    <cellStyle name="Normal 5 2 9 2" xfId="344"/>
    <cellStyle name="Normal 5 3" xfId="345"/>
    <cellStyle name="Normal 5 3 10" xfId="346"/>
    <cellStyle name="Normal 5 3 10 2" xfId="347"/>
    <cellStyle name="Normal 5 3 11" xfId="348"/>
    <cellStyle name="Normal 5 3 11 2" xfId="349"/>
    <cellStyle name="Normal 5 3 12" xfId="350"/>
    <cellStyle name="Normal 5 3 2" xfId="351"/>
    <cellStyle name="Normal 5 3 2 2" xfId="352"/>
    <cellStyle name="Normal 5 3 2 2 2" xfId="353"/>
    <cellStyle name="Normal 5 3 2 3" xfId="354"/>
    <cellStyle name="Normal 5 3 3" xfId="355"/>
    <cellStyle name="Normal 5 3 3 2" xfId="356"/>
    <cellStyle name="Normal 5 3 3 2 2" xfId="357"/>
    <cellStyle name="Normal 5 3 3 3" xfId="358"/>
    <cellStyle name="Normal 5 3 4" xfId="359"/>
    <cellStyle name="Normal 5 3 4 2" xfId="360"/>
    <cellStyle name="Normal 5 3 4 2 2" xfId="361"/>
    <cellStyle name="Normal 5 3 4 3" xfId="362"/>
    <cellStyle name="Normal 5 3 5" xfId="363"/>
    <cellStyle name="Normal 5 3 5 2" xfId="364"/>
    <cellStyle name="Normal 5 3 5 2 2" xfId="365"/>
    <cellStyle name="Normal 5 3 5 3" xfId="366"/>
    <cellStyle name="Normal 5 3 6" xfId="367"/>
    <cellStyle name="Normal 5 3 6 2" xfId="368"/>
    <cellStyle name="Normal 5 3 6 2 2" xfId="369"/>
    <cellStyle name="Normal 5 3 6 3" xfId="370"/>
    <cellStyle name="Normal 5 3 7" xfId="371"/>
    <cellStyle name="Normal 5 3 7 2" xfId="372"/>
    <cellStyle name="Normal 5 3 7 2 2" xfId="373"/>
    <cellStyle name="Normal 5 3 7 3" xfId="374"/>
    <cellStyle name="Normal 5 3 8" xfId="375"/>
    <cellStyle name="Normal 5 3 8 2" xfId="376"/>
    <cellStyle name="Normal 5 3 8 2 2" xfId="377"/>
    <cellStyle name="Normal 5 3 8 3" xfId="378"/>
    <cellStyle name="Normal 5 3 9" xfId="379"/>
    <cellStyle name="Normal 5 3 9 2" xfId="380"/>
    <cellStyle name="Normal 5 4" xfId="381"/>
    <cellStyle name="Normal 5 5" xfId="382"/>
    <cellStyle name="Normal 5 6" xfId="383"/>
    <cellStyle name="Normal 5 7" xfId="384"/>
    <cellStyle name="Normal 5 7 2" xfId="385"/>
    <cellStyle name="Normal 5 7 2 2" xfId="386"/>
    <cellStyle name="Normal 5 7 3" xfId="387"/>
    <cellStyle name="Normal 5 8" xfId="388"/>
    <cellStyle name="Normal 5 8 2" xfId="389"/>
    <cellStyle name="Normal 5 8 2 2" xfId="390"/>
    <cellStyle name="Normal 5 8 2 2 2" xfId="391"/>
    <cellStyle name="Normal 5 8 2 3" xfId="392"/>
    <cellStyle name="Normal 5 8 3" xfId="393"/>
    <cellStyle name="Normal 5 8 3 2" xfId="394"/>
    <cellStyle name="Normal 5 8 4" xfId="395"/>
    <cellStyle name="Normal 5 9" xfId="396"/>
    <cellStyle name="Normal 6" xfId="397"/>
    <cellStyle name="Normal 6 2" xfId="398"/>
    <cellStyle name="Normal 6 3" xfId="399"/>
    <cellStyle name="Normal 7" xfId="400"/>
    <cellStyle name="Normal 7 10" xfId="401"/>
    <cellStyle name="Normal 7 10 2" xfId="402"/>
    <cellStyle name="Normal 7 10 2 2" xfId="403"/>
    <cellStyle name="Normal 7 10 3" xfId="404"/>
    <cellStyle name="Normal 7 11" xfId="405"/>
    <cellStyle name="Normal 7 11 2" xfId="406"/>
    <cellStyle name="Normal 7 12" xfId="407"/>
    <cellStyle name="Normal 7 12 2" xfId="408"/>
    <cellStyle name="Normal 7 13" xfId="409"/>
    <cellStyle name="Normal 7 13 2" xfId="410"/>
    <cellStyle name="Normal 7 14" xfId="411"/>
    <cellStyle name="Normal 7 15" xfId="412"/>
    <cellStyle name="Normal 7 2" xfId="413"/>
    <cellStyle name="Normal 7 2 2" xfId="414"/>
    <cellStyle name="Normal 7 2 2 2" xfId="415"/>
    <cellStyle name="Normal 7 2 3" xfId="416"/>
    <cellStyle name="Normal 7 2 4" xfId="417"/>
    <cellStyle name="Normal 7 3" xfId="418"/>
    <cellStyle name="Normal 7 3 2" xfId="419"/>
    <cellStyle name="Normal 7 3 2 2" xfId="420"/>
    <cellStyle name="Normal 7 3 3" xfId="421"/>
    <cellStyle name="Normal 7 3 4" xfId="422"/>
    <cellStyle name="Normal 7 4" xfId="423"/>
    <cellStyle name="Normal 7 4 2" xfId="424"/>
    <cellStyle name="Normal 7 4 2 2" xfId="425"/>
    <cellStyle name="Normal 7 4 3" xfId="426"/>
    <cellStyle name="Normal 7 4 4" xfId="427"/>
    <cellStyle name="Normal 7 5" xfId="428"/>
    <cellStyle name="Normal 7 5 2" xfId="429"/>
    <cellStyle name="Normal 7 5 2 2" xfId="430"/>
    <cellStyle name="Normal 7 5 3" xfId="431"/>
    <cellStyle name="Normal 7 5 4" xfId="432"/>
    <cellStyle name="Normal 7 6" xfId="433"/>
    <cellStyle name="Normal 7 6 2" xfId="434"/>
    <cellStyle name="Normal 7 6 2 2" xfId="435"/>
    <cellStyle name="Normal 7 6 3" xfId="436"/>
    <cellStyle name="Normal 7 7" xfId="437"/>
    <cellStyle name="Normal 7 7 2" xfId="438"/>
    <cellStyle name="Normal 7 7 2 2" xfId="439"/>
    <cellStyle name="Normal 7 7 3" xfId="440"/>
    <cellStyle name="Normal 7 8" xfId="441"/>
    <cellStyle name="Normal 7 8 2" xfId="442"/>
    <cellStyle name="Normal 7 8 2 2" xfId="443"/>
    <cellStyle name="Normal 7 8 3" xfId="444"/>
    <cellStyle name="Normal 7 9" xfId="445"/>
    <cellStyle name="Normal 7 9 2" xfId="446"/>
    <cellStyle name="Normal 7 9 2 2" xfId="447"/>
    <cellStyle name="Normal 7 9 3" xfId="448"/>
    <cellStyle name="Normal 8" xfId="449"/>
    <cellStyle name="Normal 8 2" xfId="450"/>
    <cellStyle name="Normal 8 3" xfId="451"/>
    <cellStyle name="Normal 8 4" xfId="452"/>
    <cellStyle name="Normal 8 5" xfId="453"/>
    <cellStyle name="Normal 8 6" xfId="454"/>
    <cellStyle name="Normal 9" xfId="455"/>
    <cellStyle name="Normal 9 2" xfId="456"/>
    <cellStyle name="Normal 9 3" xfId="457"/>
    <cellStyle name="Normal 9 4" xfId="7"/>
    <cellStyle name="Normal 9 5" xfId="458"/>
    <cellStyle name="Percent" xfId="2" builtinId="5"/>
    <cellStyle name="Percent 2" xfId="5"/>
    <cellStyle name="Percent 2 2" xfId="459"/>
    <cellStyle name="Percent 3" xfId="460"/>
    <cellStyle name="Porcentual 2" xfId="461"/>
    <cellStyle name="Porcentual 2 2" xfId="462"/>
    <cellStyle name="Porcentual 2 3" xfId="463"/>
    <cellStyle name="Porcentual 3" xfId="464"/>
    <cellStyle name="Porcentual 4" xfId="465"/>
    <cellStyle name="Porcentual 4 2" xfId="466"/>
    <cellStyle name="Porcentual 4 2 2" xfId="467"/>
    <cellStyle name="Porcentual 4 3" xfId="468"/>
  </cellStyles>
  <dxfs count="2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CC00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0</xdr:row>
      <xdr:rowOff>38100</xdr:rowOff>
    </xdr:from>
    <xdr:to>
      <xdr:col>1</xdr:col>
      <xdr:colOff>361950</xdr:colOff>
      <xdr:row>2</xdr:row>
      <xdr:rowOff>152400</xdr:rowOff>
    </xdr:to>
    <xdr:pic>
      <xdr:nvPicPr>
        <xdr:cNvPr id="2" name="Picture 1" descr="Logo Chevr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38100"/>
          <a:ext cx="438150" cy="4953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32238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32238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31138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43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13313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13313" y="485775"/>
          <a:ext cx="5677203" cy="23526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13313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32238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41638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41638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0</xdr:row>
      <xdr:rowOff>38100</xdr:rowOff>
    </xdr:from>
    <xdr:to>
      <xdr:col>1</xdr:col>
      <xdr:colOff>361950</xdr:colOff>
      <xdr:row>2</xdr:row>
      <xdr:rowOff>152400</xdr:rowOff>
    </xdr:to>
    <xdr:pic>
      <xdr:nvPicPr>
        <xdr:cNvPr id="2" name="Picture 1" descr="Logo Chevr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38100"/>
          <a:ext cx="438150" cy="4953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0</xdr:row>
      <xdr:rowOff>38100</xdr:rowOff>
    </xdr:from>
    <xdr:to>
      <xdr:col>1</xdr:col>
      <xdr:colOff>361950</xdr:colOff>
      <xdr:row>2</xdr:row>
      <xdr:rowOff>152400</xdr:rowOff>
    </xdr:to>
    <xdr:pic>
      <xdr:nvPicPr>
        <xdr:cNvPr id="2" name="Picture 1" descr="Logo Chevr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38100"/>
          <a:ext cx="438150" cy="4953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03663" y="3604684"/>
          <a:ext cx="5677203" cy="23537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32238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32238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32238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32238" y="3604684"/>
          <a:ext cx="5677203" cy="2352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51963</xdr:colOff>
      <xdr:row>14</xdr:row>
      <xdr:rowOff>137584</xdr:rowOff>
    </xdr:from>
    <xdr:to>
      <xdr:col>36</xdr:col>
      <xdr:colOff>1290516</xdr:colOff>
      <xdr:row>24</xdr:row>
      <xdr:rowOff>185209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32238" y="3604684"/>
          <a:ext cx="5677203" cy="2352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eatRat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tRat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I44"/>
  <sheetViews>
    <sheetView zoomScale="80" zoomScaleNormal="80" workbookViewId="0">
      <selection activeCell="I15" sqref="I15:I32"/>
    </sheetView>
  </sheetViews>
  <sheetFormatPr defaultRowHeight="15" x14ac:dyDescent="0.25"/>
  <cols>
    <col min="1" max="1" width="10.42578125" customWidth="1"/>
    <col min="2" max="2" width="19.140625" customWidth="1"/>
    <col min="3" max="3" width="17.28515625" customWidth="1"/>
    <col min="4" max="7" width="14.7109375" customWidth="1"/>
    <col min="8" max="8" width="23.140625" customWidth="1"/>
    <col min="9" max="9" width="50" customWidth="1"/>
  </cols>
  <sheetData>
    <row r="1" spans="1:9" x14ac:dyDescent="0.25">
      <c r="A1" s="773"/>
      <c r="B1" s="773"/>
      <c r="C1" s="774" t="s">
        <v>198</v>
      </c>
      <c r="D1" s="775"/>
      <c r="E1" s="775"/>
      <c r="F1" s="775"/>
      <c r="G1" s="775"/>
      <c r="H1" s="775"/>
      <c r="I1" s="775"/>
    </row>
    <row r="2" spans="1:9" x14ac:dyDescent="0.25">
      <c r="A2" s="773"/>
      <c r="B2" s="773"/>
      <c r="C2" s="774" t="s">
        <v>199</v>
      </c>
      <c r="D2" s="775"/>
      <c r="E2" s="775"/>
      <c r="F2" s="775"/>
      <c r="G2" s="775"/>
      <c r="H2" s="775"/>
      <c r="I2" s="775"/>
    </row>
    <row r="3" spans="1:9" x14ac:dyDescent="0.25">
      <c r="A3" s="773"/>
      <c r="B3" s="773"/>
      <c r="C3" s="418"/>
      <c r="D3" s="418"/>
      <c r="E3" s="418"/>
      <c r="F3" s="418"/>
      <c r="G3" s="418"/>
      <c r="H3" s="418"/>
      <c r="I3" s="418"/>
    </row>
    <row r="4" spans="1:9" ht="14.25" customHeight="1" x14ac:dyDescent="0.25">
      <c r="A4" s="776" t="s">
        <v>234</v>
      </c>
      <c r="B4" s="777"/>
      <c r="C4" s="777"/>
      <c r="D4" s="777"/>
      <c r="E4" s="777"/>
      <c r="F4" s="777"/>
      <c r="G4" s="777"/>
      <c r="H4" s="777"/>
      <c r="I4" s="777"/>
    </row>
    <row r="5" spans="1:9" x14ac:dyDescent="0.25">
      <c r="A5" s="778"/>
      <c r="B5" s="779"/>
      <c r="C5" s="779"/>
      <c r="D5" s="779"/>
      <c r="E5" s="779"/>
      <c r="F5" s="779"/>
      <c r="G5" s="779"/>
      <c r="H5" s="779"/>
      <c r="I5" s="779"/>
    </row>
    <row r="6" spans="1:9" ht="15.75" thickBot="1" x14ac:dyDescent="0.3">
      <c r="A6" s="376"/>
      <c r="B6" s="377"/>
      <c r="C6" s="378"/>
      <c r="D6" s="378"/>
      <c r="E6" s="378"/>
      <c r="F6" s="378"/>
      <c r="G6" s="378"/>
      <c r="H6" s="378"/>
      <c r="I6" s="378"/>
    </row>
    <row r="7" spans="1:9" ht="15" customHeight="1" x14ac:dyDescent="0.25">
      <c r="B7" s="762" t="s">
        <v>200</v>
      </c>
      <c r="C7" s="762" t="s">
        <v>201</v>
      </c>
      <c r="D7" s="762" t="s">
        <v>202</v>
      </c>
      <c r="E7" s="762" t="s">
        <v>203</v>
      </c>
      <c r="F7" s="762" t="s">
        <v>204</v>
      </c>
      <c r="G7" s="762" t="s">
        <v>205</v>
      </c>
      <c r="H7" s="764" t="s">
        <v>206</v>
      </c>
      <c r="I7" s="764" t="s">
        <v>207</v>
      </c>
    </row>
    <row r="8" spans="1:9" ht="15.75" thickBot="1" x14ac:dyDescent="0.3">
      <c r="B8" s="772"/>
      <c r="C8" s="772"/>
      <c r="D8" s="763"/>
      <c r="E8" s="763"/>
      <c r="F8" s="763"/>
      <c r="G8" s="763"/>
      <c r="H8" s="765"/>
      <c r="I8" s="765"/>
    </row>
    <row r="9" spans="1:9" ht="15.75" customHeight="1" x14ac:dyDescent="0.25">
      <c r="B9" s="766" t="s">
        <v>235</v>
      </c>
      <c r="C9" s="379" t="s">
        <v>208</v>
      </c>
      <c r="D9" s="419">
        <v>58000</v>
      </c>
      <c r="E9" s="385">
        <v>0</v>
      </c>
      <c r="F9" s="385">
        <v>0</v>
      </c>
      <c r="G9" s="420">
        <v>10000</v>
      </c>
      <c r="H9" s="403">
        <f>SUM(D9:G9)</f>
        <v>68000</v>
      </c>
      <c r="I9" s="769" t="s">
        <v>236</v>
      </c>
    </row>
    <row r="10" spans="1:9" ht="15.75" customHeight="1" x14ac:dyDescent="0.25">
      <c r="B10" s="767"/>
      <c r="C10" s="384" t="s">
        <v>209</v>
      </c>
      <c r="D10" s="419">
        <f>D9</f>
        <v>58000</v>
      </c>
      <c r="E10" s="385">
        <f>E9</f>
        <v>0</v>
      </c>
      <c r="F10" s="385">
        <f>F9</f>
        <v>0</v>
      </c>
      <c r="G10" s="420">
        <f>G9</f>
        <v>10000</v>
      </c>
      <c r="H10" s="412">
        <f t="shared" ref="H10:H32" si="0">SUM(D10:G10)</f>
        <v>68000</v>
      </c>
      <c r="I10" s="770"/>
    </row>
    <row r="11" spans="1:9" ht="15.75" customHeight="1" x14ac:dyDescent="0.25">
      <c r="B11" s="767"/>
      <c r="C11" s="384" t="s">
        <v>210</v>
      </c>
      <c r="D11" s="419">
        <f t="shared" ref="D11:G26" si="1">D10</f>
        <v>58000</v>
      </c>
      <c r="E11" s="385">
        <f t="shared" si="1"/>
        <v>0</v>
      </c>
      <c r="F11" s="385">
        <f t="shared" si="1"/>
        <v>0</v>
      </c>
      <c r="G11" s="420">
        <f t="shared" si="1"/>
        <v>10000</v>
      </c>
      <c r="H11" s="412">
        <f t="shared" si="0"/>
        <v>68000</v>
      </c>
      <c r="I11" s="770"/>
    </row>
    <row r="12" spans="1:9" ht="15.75" customHeight="1" x14ac:dyDescent="0.25">
      <c r="B12" s="767"/>
      <c r="C12" s="384" t="s">
        <v>211</v>
      </c>
      <c r="D12" s="419">
        <f t="shared" si="1"/>
        <v>58000</v>
      </c>
      <c r="E12" s="385">
        <f t="shared" si="1"/>
        <v>0</v>
      </c>
      <c r="F12" s="385">
        <f t="shared" si="1"/>
        <v>0</v>
      </c>
      <c r="G12" s="420">
        <f t="shared" si="1"/>
        <v>10000</v>
      </c>
      <c r="H12" s="412">
        <f t="shared" si="0"/>
        <v>68000</v>
      </c>
      <c r="I12" s="770"/>
    </row>
    <row r="13" spans="1:9" ht="15.75" x14ac:dyDescent="0.25">
      <c r="B13" s="767"/>
      <c r="C13" s="384" t="s">
        <v>212</v>
      </c>
      <c r="D13" s="419">
        <f t="shared" si="1"/>
        <v>58000</v>
      </c>
      <c r="E13" s="385">
        <f t="shared" si="1"/>
        <v>0</v>
      </c>
      <c r="F13" s="385">
        <f t="shared" si="1"/>
        <v>0</v>
      </c>
      <c r="G13" s="420">
        <f t="shared" si="1"/>
        <v>10000</v>
      </c>
      <c r="H13" s="412">
        <f t="shared" si="0"/>
        <v>68000</v>
      </c>
      <c r="I13" s="770"/>
    </row>
    <row r="14" spans="1:9" ht="16.5" customHeight="1" thickBot="1" x14ac:dyDescent="0.3">
      <c r="B14" s="767"/>
      <c r="C14" s="384" t="s">
        <v>213</v>
      </c>
      <c r="D14" s="419">
        <f t="shared" si="1"/>
        <v>58000</v>
      </c>
      <c r="E14" s="385">
        <f t="shared" si="1"/>
        <v>0</v>
      </c>
      <c r="F14" s="385">
        <f t="shared" si="1"/>
        <v>0</v>
      </c>
      <c r="G14" s="420">
        <f t="shared" si="1"/>
        <v>10000</v>
      </c>
      <c r="H14" s="412">
        <f t="shared" si="0"/>
        <v>68000</v>
      </c>
      <c r="I14" s="770"/>
    </row>
    <row r="15" spans="1:9" ht="17.25" customHeight="1" x14ac:dyDescent="0.25">
      <c r="B15" s="767"/>
      <c r="C15" s="384" t="s">
        <v>214</v>
      </c>
      <c r="D15" s="421">
        <v>73000</v>
      </c>
      <c r="E15" s="414">
        <v>81467</v>
      </c>
      <c r="F15" s="414">
        <v>274133</v>
      </c>
      <c r="G15" s="415">
        <v>20000</v>
      </c>
      <c r="H15" s="413">
        <f t="shared" si="0"/>
        <v>448600</v>
      </c>
      <c r="I15" s="769" t="s">
        <v>237</v>
      </c>
    </row>
    <row r="16" spans="1:9" ht="15.75" customHeight="1" x14ac:dyDescent="0.25">
      <c r="B16" s="767"/>
      <c r="C16" s="384" t="s">
        <v>215</v>
      </c>
      <c r="D16" s="421">
        <f t="shared" si="1"/>
        <v>73000</v>
      </c>
      <c r="E16" s="414">
        <f t="shared" si="1"/>
        <v>81467</v>
      </c>
      <c r="F16" s="414">
        <f t="shared" si="1"/>
        <v>274133</v>
      </c>
      <c r="G16" s="415">
        <f t="shared" si="1"/>
        <v>20000</v>
      </c>
      <c r="H16" s="413">
        <f t="shared" si="0"/>
        <v>448600</v>
      </c>
      <c r="I16" s="770"/>
    </row>
    <row r="17" spans="2:9" ht="15.75" customHeight="1" x14ac:dyDescent="0.25">
      <c r="B17" s="767"/>
      <c r="C17" s="384" t="s">
        <v>216</v>
      </c>
      <c r="D17" s="421">
        <f t="shared" si="1"/>
        <v>73000</v>
      </c>
      <c r="E17" s="414">
        <f t="shared" si="1"/>
        <v>81467</v>
      </c>
      <c r="F17" s="414">
        <f t="shared" si="1"/>
        <v>274133</v>
      </c>
      <c r="G17" s="415">
        <f t="shared" si="1"/>
        <v>20000</v>
      </c>
      <c r="H17" s="412">
        <f t="shared" si="0"/>
        <v>448600</v>
      </c>
      <c r="I17" s="770"/>
    </row>
    <row r="18" spans="2:9" ht="15.75" customHeight="1" x14ac:dyDescent="0.25">
      <c r="B18" s="767"/>
      <c r="C18" s="384" t="s">
        <v>217</v>
      </c>
      <c r="D18" s="421">
        <f t="shared" si="1"/>
        <v>73000</v>
      </c>
      <c r="E18" s="414">
        <f t="shared" si="1"/>
        <v>81467</v>
      </c>
      <c r="F18" s="414">
        <f t="shared" si="1"/>
        <v>274133</v>
      </c>
      <c r="G18" s="415">
        <f t="shared" si="1"/>
        <v>20000</v>
      </c>
      <c r="H18" s="412">
        <f t="shared" si="0"/>
        <v>448600</v>
      </c>
      <c r="I18" s="770"/>
    </row>
    <row r="19" spans="2:9" ht="15.75" customHeight="1" x14ac:dyDescent="0.25">
      <c r="B19" s="767"/>
      <c r="C19" s="384" t="s">
        <v>218</v>
      </c>
      <c r="D19" s="421">
        <f t="shared" si="1"/>
        <v>73000</v>
      </c>
      <c r="E19" s="414">
        <f t="shared" si="1"/>
        <v>81467</v>
      </c>
      <c r="F19" s="414">
        <f t="shared" si="1"/>
        <v>274133</v>
      </c>
      <c r="G19" s="415">
        <f t="shared" si="1"/>
        <v>20000</v>
      </c>
      <c r="H19" s="412">
        <f t="shared" si="0"/>
        <v>448600</v>
      </c>
      <c r="I19" s="770"/>
    </row>
    <row r="20" spans="2:9" ht="15.75" customHeight="1" x14ac:dyDescent="0.25">
      <c r="B20" s="767"/>
      <c r="C20" s="384" t="s">
        <v>219</v>
      </c>
      <c r="D20" s="421">
        <f t="shared" si="1"/>
        <v>73000</v>
      </c>
      <c r="E20" s="414">
        <f t="shared" si="1"/>
        <v>81467</v>
      </c>
      <c r="F20" s="414">
        <f t="shared" si="1"/>
        <v>274133</v>
      </c>
      <c r="G20" s="415">
        <f t="shared" si="1"/>
        <v>20000</v>
      </c>
      <c r="H20" s="412">
        <f t="shared" si="0"/>
        <v>448600</v>
      </c>
      <c r="I20" s="770"/>
    </row>
    <row r="21" spans="2:9" ht="15.75" customHeight="1" x14ac:dyDescent="0.25">
      <c r="B21" s="767"/>
      <c r="C21" s="384" t="s">
        <v>220</v>
      </c>
      <c r="D21" s="421">
        <f>D20</f>
        <v>73000</v>
      </c>
      <c r="E21" s="414">
        <f t="shared" si="1"/>
        <v>81467</v>
      </c>
      <c r="F21" s="414">
        <f t="shared" si="1"/>
        <v>274133</v>
      </c>
      <c r="G21" s="415">
        <f t="shared" si="1"/>
        <v>20000</v>
      </c>
      <c r="H21" s="412">
        <f t="shared" si="0"/>
        <v>448600</v>
      </c>
      <c r="I21" s="770"/>
    </row>
    <row r="22" spans="2:9" ht="15.75" customHeight="1" x14ac:dyDescent="0.25">
      <c r="B22" s="767"/>
      <c r="C22" s="384" t="s">
        <v>221</v>
      </c>
      <c r="D22" s="421">
        <f t="shared" si="1"/>
        <v>73000</v>
      </c>
      <c r="E22" s="414">
        <f t="shared" si="1"/>
        <v>81467</v>
      </c>
      <c r="F22" s="414">
        <f t="shared" si="1"/>
        <v>274133</v>
      </c>
      <c r="G22" s="415">
        <f t="shared" si="1"/>
        <v>20000</v>
      </c>
      <c r="H22" s="412">
        <f t="shared" si="0"/>
        <v>448600</v>
      </c>
      <c r="I22" s="770"/>
    </row>
    <row r="23" spans="2:9" ht="15.75" customHeight="1" x14ac:dyDescent="0.25">
      <c r="B23" s="767"/>
      <c r="C23" s="384" t="s">
        <v>222</v>
      </c>
      <c r="D23" s="421">
        <f t="shared" si="1"/>
        <v>73000</v>
      </c>
      <c r="E23" s="414">
        <f t="shared" si="1"/>
        <v>81467</v>
      </c>
      <c r="F23" s="414">
        <f t="shared" si="1"/>
        <v>274133</v>
      </c>
      <c r="G23" s="415">
        <f t="shared" si="1"/>
        <v>20000</v>
      </c>
      <c r="H23" s="412">
        <f t="shared" si="0"/>
        <v>448600</v>
      </c>
      <c r="I23" s="770"/>
    </row>
    <row r="24" spans="2:9" ht="15.75" customHeight="1" x14ac:dyDescent="0.25">
      <c r="B24" s="767"/>
      <c r="C24" s="384" t="s">
        <v>223</v>
      </c>
      <c r="D24" s="421">
        <f t="shared" si="1"/>
        <v>73000</v>
      </c>
      <c r="E24" s="414">
        <f t="shared" si="1"/>
        <v>81467</v>
      </c>
      <c r="F24" s="414">
        <f t="shared" si="1"/>
        <v>274133</v>
      </c>
      <c r="G24" s="415">
        <f t="shared" si="1"/>
        <v>20000</v>
      </c>
      <c r="H24" s="412">
        <f t="shared" si="0"/>
        <v>448600</v>
      </c>
      <c r="I24" s="770"/>
    </row>
    <row r="25" spans="2:9" ht="15.75" customHeight="1" x14ac:dyDescent="0.25">
      <c r="B25" s="767"/>
      <c r="C25" s="384" t="s">
        <v>224</v>
      </c>
      <c r="D25" s="421">
        <f t="shared" si="1"/>
        <v>73000</v>
      </c>
      <c r="E25" s="414">
        <f t="shared" si="1"/>
        <v>81467</v>
      </c>
      <c r="F25" s="414">
        <f t="shared" si="1"/>
        <v>274133</v>
      </c>
      <c r="G25" s="415">
        <f t="shared" si="1"/>
        <v>20000</v>
      </c>
      <c r="H25" s="412">
        <f t="shared" si="0"/>
        <v>448600</v>
      </c>
      <c r="I25" s="770"/>
    </row>
    <row r="26" spans="2:9" ht="16.5" customHeight="1" x14ac:dyDescent="0.25">
      <c r="B26" s="767"/>
      <c r="C26" s="384" t="s">
        <v>225</v>
      </c>
      <c r="D26" s="421">
        <f t="shared" si="1"/>
        <v>73000</v>
      </c>
      <c r="E26" s="414">
        <f t="shared" si="1"/>
        <v>81467</v>
      </c>
      <c r="F26" s="414">
        <f t="shared" si="1"/>
        <v>274133</v>
      </c>
      <c r="G26" s="415">
        <f t="shared" si="1"/>
        <v>20000</v>
      </c>
      <c r="H26" s="412">
        <f t="shared" si="0"/>
        <v>448600</v>
      </c>
      <c r="I26" s="770"/>
    </row>
    <row r="27" spans="2:9" ht="15.75" customHeight="1" x14ac:dyDescent="0.25">
      <c r="B27" s="767"/>
      <c r="C27" s="384" t="s">
        <v>226</v>
      </c>
      <c r="D27" s="421">
        <f t="shared" ref="D27:G32" si="2">D26</f>
        <v>73000</v>
      </c>
      <c r="E27" s="414">
        <f t="shared" si="2"/>
        <v>81467</v>
      </c>
      <c r="F27" s="414">
        <f t="shared" si="2"/>
        <v>274133</v>
      </c>
      <c r="G27" s="415">
        <f t="shared" si="2"/>
        <v>20000</v>
      </c>
      <c r="H27" s="412">
        <f t="shared" si="0"/>
        <v>448600</v>
      </c>
      <c r="I27" s="770"/>
    </row>
    <row r="28" spans="2:9" ht="16.5" customHeight="1" x14ac:dyDescent="0.25">
      <c r="B28" s="767"/>
      <c r="C28" s="384" t="s">
        <v>227</v>
      </c>
      <c r="D28" s="421">
        <f t="shared" si="2"/>
        <v>73000</v>
      </c>
      <c r="E28" s="414">
        <f t="shared" si="2"/>
        <v>81467</v>
      </c>
      <c r="F28" s="414">
        <f t="shared" si="2"/>
        <v>274133</v>
      </c>
      <c r="G28" s="415">
        <f t="shared" si="2"/>
        <v>20000</v>
      </c>
      <c r="H28" s="412">
        <f t="shared" si="0"/>
        <v>448600</v>
      </c>
      <c r="I28" s="770"/>
    </row>
    <row r="29" spans="2:9" ht="15.75" customHeight="1" x14ac:dyDescent="0.25">
      <c r="B29" s="767"/>
      <c r="C29" s="384" t="s">
        <v>228</v>
      </c>
      <c r="D29" s="421">
        <f t="shared" si="2"/>
        <v>73000</v>
      </c>
      <c r="E29" s="414">
        <f t="shared" si="2"/>
        <v>81467</v>
      </c>
      <c r="F29" s="414">
        <f t="shared" si="2"/>
        <v>274133</v>
      </c>
      <c r="G29" s="415">
        <f t="shared" si="2"/>
        <v>20000</v>
      </c>
      <c r="H29" s="412">
        <f t="shared" si="0"/>
        <v>448600</v>
      </c>
      <c r="I29" s="770"/>
    </row>
    <row r="30" spans="2:9" ht="15.75" customHeight="1" x14ac:dyDescent="0.25">
      <c r="B30" s="767"/>
      <c r="C30" s="384" t="s">
        <v>229</v>
      </c>
      <c r="D30" s="421">
        <f t="shared" si="2"/>
        <v>73000</v>
      </c>
      <c r="E30" s="414">
        <f t="shared" si="2"/>
        <v>81467</v>
      </c>
      <c r="F30" s="414">
        <f t="shared" si="2"/>
        <v>274133</v>
      </c>
      <c r="G30" s="415">
        <f t="shared" si="2"/>
        <v>20000</v>
      </c>
      <c r="H30" s="412">
        <f t="shared" si="0"/>
        <v>448600</v>
      </c>
      <c r="I30" s="770"/>
    </row>
    <row r="31" spans="2:9" ht="15.75" customHeight="1" x14ac:dyDescent="0.25">
      <c r="B31" s="767"/>
      <c r="C31" s="384" t="s">
        <v>230</v>
      </c>
      <c r="D31" s="421">
        <f t="shared" si="2"/>
        <v>73000</v>
      </c>
      <c r="E31" s="414">
        <f t="shared" si="2"/>
        <v>81467</v>
      </c>
      <c r="F31" s="414">
        <f t="shared" si="2"/>
        <v>274133</v>
      </c>
      <c r="G31" s="415">
        <f t="shared" si="2"/>
        <v>20000</v>
      </c>
      <c r="H31" s="412">
        <f t="shared" si="0"/>
        <v>448600</v>
      </c>
      <c r="I31" s="770"/>
    </row>
    <row r="32" spans="2:9" ht="16.5" customHeight="1" thickBot="1" x14ac:dyDescent="0.3">
      <c r="B32" s="768"/>
      <c r="C32" s="386" t="s">
        <v>231</v>
      </c>
      <c r="D32" s="421">
        <f t="shared" si="2"/>
        <v>73000</v>
      </c>
      <c r="E32" s="414">
        <f t="shared" si="2"/>
        <v>81467</v>
      </c>
      <c r="F32" s="414">
        <f t="shared" si="2"/>
        <v>274133</v>
      </c>
      <c r="G32" s="415">
        <f t="shared" si="2"/>
        <v>20000</v>
      </c>
      <c r="H32" s="417">
        <f t="shared" si="0"/>
        <v>448600</v>
      </c>
      <c r="I32" s="771"/>
    </row>
    <row r="33" spans="2:9" ht="15.75" customHeight="1" thickBot="1" x14ac:dyDescent="0.3">
      <c r="B33" s="387" t="s">
        <v>130</v>
      </c>
      <c r="C33" s="388"/>
      <c r="D33" s="389">
        <f>AVERAGE(D9:D32)</f>
        <v>69250</v>
      </c>
      <c r="E33" s="389">
        <f>AVERAGE(E9:E32)</f>
        <v>61100.25</v>
      </c>
      <c r="F33" s="389">
        <f>AVERAGE(F9:F32)</f>
        <v>205599.75</v>
      </c>
      <c r="G33" s="389">
        <f>AVERAGE(G9:G32)</f>
        <v>17500</v>
      </c>
      <c r="H33" s="389">
        <f>AVERAGE(H9:H32)</f>
        <v>353450</v>
      </c>
      <c r="I33" s="390"/>
    </row>
    <row r="34" spans="2:9" ht="15.75" x14ac:dyDescent="0.25">
      <c r="B34" s="391"/>
      <c r="C34" s="392"/>
      <c r="D34" s="393"/>
      <c r="E34" s="393"/>
      <c r="F34" s="393"/>
      <c r="G34" s="394"/>
      <c r="H34" s="395"/>
      <c r="I34" s="396"/>
    </row>
    <row r="35" spans="2:9" x14ac:dyDescent="0.25">
      <c r="B35" s="397"/>
      <c r="C35" s="397"/>
      <c r="D35" s="397"/>
      <c r="E35" s="397"/>
      <c r="F35" s="397"/>
      <c r="G35" s="397"/>
      <c r="H35" s="397"/>
      <c r="I35" s="397"/>
    </row>
    <row r="36" spans="2:9" x14ac:dyDescent="0.25">
      <c r="B36" s="397"/>
      <c r="C36" s="397"/>
      <c r="D36" s="397"/>
      <c r="E36" s="397"/>
      <c r="F36" s="397"/>
      <c r="G36" s="397"/>
      <c r="H36" s="397"/>
      <c r="I36" s="397"/>
    </row>
    <row r="37" spans="2:9" x14ac:dyDescent="0.25">
      <c r="B37" s="397"/>
      <c r="C37" s="397"/>
      <c r="D37" s="398"/>
      <c r="E37" s="397"/>
      <c r="F37" s="397"/>
      <c r="G37" s="397"/>
      <c r="H37" s="399"/>
      <c r="I37" s="397"/>
    </row>
    <row r="38" spans="2:9" x14ac:dyDescent="0.25">
      <c r="B38" s="397"/>
      <c r="C38" s="397"/>
      <c r="D38" s="397"/>
      <c r="E38" s="397"/>
      <c r="F38" s="397"/>
      <c r="G38" s="397"/>
      <c r="H38" s="397"/>
      <c r="I38" s="397"/>
    </row>
    <row r="39" spans="2:9" x14ac:dyDescent="0.25">
      <c r="B39" s="397"/>
      <c r="C39" s="397"/>
      <c r="D39" s="397"/>
      <c r="E39" s="397"/>
      <c r="F39" s="397"/>
      <c r="G39" s="397"/>
      <c r="H39" s="397"/>
      <c r="I39" s="397"/>
    </row>
    <row r="40" spans="2:9" x14ac:dyDescent="0.25">
      <c r="B40" s="397"/>
      <c r="C40" s="397"/>
      <c r="D40" s="397"/>
      <c r="E40" s="397"/>
      <c r="F40" s="397"/>
      <c r="G40" s="397"/>
      <c r="H40" s="397"/>
      <c r="I40" s="397"/>
    </row>
    <row r="41" spans="2:9" x14ac:dyDescent="0.25">
      <c r="B41" s="397"/>
      <c r="C41" s="397"/>
      <c r="D41" s="397"/>
      <c r="E41" s="397"/>
      <c r="F41" s="397"/>
      <c r="G41" s="397"/>
      <c r="H41" s="397"/>
      <c r="I41" s="397"/>
    </row>
    <row r="42" spans="2:9" x14ac:dyDescent="0.25">
      <c r="E42" s="397"/>
      <c r="F42" s="397"/>
    </row>
    <row r="43" spans="2:9" x14ac:dyDescent="0.25">
      <c r="E43" s="397"/>
      <c r="F43" s="397"/>
    </row>
    <row r="44" spans="2:9" x14ac:dyDescent="0.25">
      <c r="E44" s="397"/>
      <c r="F44" s="397"/>
    </row>
  </sheetData>
  <mergeCells count="16">
    <mergeCell ref="A1:B3"/>
    <mergeCell ref="C1:I1"/>
    <mergeCell ref="C2:I2"/>
    <mergeCell ref="A4:I4"/>
    <mergeCell ref="A5:I5"/>
    <mergeCell ref="G7:G8"/>
    <mergeCell ref="H7:H8"/>
    <mergeCell ref="I7:I8"/>
    <mergeCell ref="B9:B32"/>
    <mergeCell ref="I9:I14"/>
    <mergeCell ref="I15:I32"/>
    <mergeCell ref="B7:B8"/>
    <mergeCell ref="C7:C8"/>
    <mergeCell ref="D7:D8"/>
    <mergeCell ref="E7:E8"/>
    <mergeCell ref="F7:F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00B0F0"/>
  </sheetPr>
  <dimension ref="A1:AU173"/>
  <sheetViews>
    <sheetView zoomScale="115" zoomScaleNormal="115" workbookViewId="0">
      <selection activeCell="AE62" sqref="AE62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173025</v>
      </c>
      <c r="M2" s="29"/>
      <c r="N2" s="798">
        <f>SUM(K2:K26)</f>
        <v>226300</v>
      </c>
      <c r="O2" s="30">
        <f>+K2/$N$2</f>
        <v>1.3256738842244807E-2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173025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582" t="s">
        <v>31</v>
      </c>
      <c r="AE2" s="582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171925</v>
      </c>
      <c r="M3" s="29"/>
      <c r="N3" s="799"/>
      <c r="O3" s="30">
        <f t="shared" ref="O3:O29" si="2">+K3/$N$2</f>
        <v>4.8608042421564293E-3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171925</v>
      </c>
      <c r="X3" s="32">
        <f t="shared" ref="X3:X56" si="9">W3-L3</f>
        <v>0</v>
      </c>
      <c r="Y3" s="37" t="s">
        <v>34</v>
      </c>
      <c r="Z3" s="38">
        <f>ROUND((Z13*57%),0)</f>
        <v>233985</v>
      </c>
      <c r="AA3" s="39">
        <f>ROUND((+Z14*0.57),0)</f>
        <v>233336</v>
      </c>
      <c r="AB3" s="454">
        <v>70870</v>
      </c>
      <c r="AC3" s="455">
        <v>148924</v>
      </c>
      <c r="AD3" s="40">
        <v>13542</v>
      </c>
      <c r="AE3" s="41">
        <f>SUM(AB3:AD3)</f>
        <v>233336</v>
      </c>
      <c r="AF3" s="41">
        <f>AA3-AE3</f>
        <v>0</v>
      </c>
      <c r="AG3" s="42">
        <f>AA3-AB3-AC3-AD3</f>
        <v>0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149525</v>
      </c>
      <c r="M4" s="29"/>
      <c r="N4" s="799"/>
      <c r="O4" s="30">
        <f t="shared" si="2"/>
        <v>9.8983650022094569E-2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149525</v>
      </c>
      <c r="X4" s="32">
        <f t="shared" si="9"/>
        <v>0</v>
      </c>
      <c r="Y4" s="37" t="s">
        <v>38</v>
      </c>
      <c r="Z4" s="38">
        <f>ROUND((Z13*43%),0)</f>
        <v>176515</v>
      </c>
      <c r="AA4" s="39">
        <f>ROUND((+Z14*0.43),0)</f>
        <v>176025</v>
      </c>
      <c r="AB4" s="43">
        <v>50994</v>
      </c>
      <c r="AC4" s="43">
        <v>125031</v>
      </c>
      <c r="AD4" s="40">
        <f>U105</f>
        <v>0</v>
      </c>
      <c r="AE4" s="41">
        <f>SUM(AB4:AD4)</f>
        <v>176025</v>
      </c>
      <c r="AF4" s="41">
        <f>AA4-AE4</f>
        <v>0</v>
      </c>
      <c r="AG4" s="42">
        <f>AA4-AB4-AC4-AD4</f>
        <v>0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148325</v>
      </c>
      <c r="M5" s="29"/>
      <c r="N5" s="799"/>
      <c r="O5" s="30">
        <f t="shared" si="2"/>
        <v>5.3026955368979233E-3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148325</v>
      </c>
      <c r="X5" s="32">
        <f t="shared" si="9"/>
        <v>0</v>
      </c>
      <c r="Y5" s="44" t="s">
        <v>41</v>
      </c>
      <c r="Z5" s="38">
        <f>SUM(Z3:Z4)</f>
        <v>410500</v>
      </c>
      <c r="AA5" s="45">
        <f>SUM(AA3:AA4)</f>
        <v>409361</v>
      </c>
      <c r="AB5" s="46">
        <f>SUM(AB3:AB4)</f>
        <v>121864</v>
      </c>
      <c r="AC5" s="41">
        <f>SUM(AC3:AC4)</f>
        <v>273955</v>
      </c>
      <c r="AD5" s="40">
        <f>SUM(AD3:AD4)</f>
        <v>13542</v>
      </c>
      <c r="AE5" s="41">
        <f>SUM(AB5:AD5)</f>
        <v>409361</v>
      </c>
      <c r="AF5" s="47">
        <f>SUM(AF3:AF4)</f>
        <v>0</v>
      </c>
      <c r="AG5" s="47">
        <f>SUM(AG3:AG4)</f>
        <v>0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136325</v>
      </c>
      <c r="M6" s="29"/>
      <c r="N6" s="799"/>
      <c r="O6" s="30">
        <f t="shared" si="2"/>
        <v>5.302695536897923E-2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136325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v>130500</v>
      </c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12370+1796</f>
        <v>14166</v>
      </c>
      <c r="I7" s="518">
        <f>800+2430+604</f>
        <v>3834</v>
      </c>
      <c r="J7" s="26"/>
      <c r="K7" s="27">
        <f t="shared" si="0"/>
        <v>18000</v>
      </c>
      <c r="L7" s="28">
        <f t="shared" si="1"/>
        <v>118325</v>
      </c>
      <c r="M7" s="29"/>
      <c r="N7" s="799"/>
      <c r="O7" s="30">
        <f t="shared" si="2"/>
        <v>7.9540433053468848E-2</v>
      </c>
      <c r="P7" s="802"/>
      <c r="Q7" s="31">
        <f t="shared" si="3"/>
        <v>0</v>
      </c>
      <c r="R7" s="31"/>
      <c r="S7" s="28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118325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115825</v>
      </c>
      <c r="M8" s="29"/>
      <c r="N8" s="799"/>
      <c r="O8" s="30">
        <f t="shared" si="2"/>
        <v>1.104728236853734E-2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115825</v>
      </c>
      <c r="X8" s="32">
        <f t="shared" si="9"/>
        <v>0</v>
      </c>
      <c r="Y8" s="14" t="s">
        <v>47</v>
      </c>
      <c r="Z8" s="54">
        <v>41918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1194</v>
      </c>
      <c r="I9" s="518">
        <v>1006</v>
      </c>
      <c r="J9" s="26"/>
      <c r="K9" s="27">
        <f t="shared" si="0"/>
        <v>2200</v>
      </c>
      <c r="L9" s="28">
        <f t="shared" si="1"/>
        <v>113625</v>
      </c>
      <c r="M9" s="29"/>
      <c r="N9" s="799"/>
      <c r="O9" s="30">
        <f t="shared" si="2"/>
        <v>9.7216084843128586E-3</v>
      </c>
      <c r="P9" s="802"/>
      <c r="Q9" s="31">
        <f t="shared" si="3"/>
        <v>0</v>
      </c>
      <c r="R9" s="31"/>
      <c r="S9" s="28">
        <f t="shared" si="4"/>
        <v>1194</v>
      </c>
      <c r="T9" s="28">
        <f t="shared" si="5"/>
        <v>1006</v>
      </c>
      <c r="U9" s="28">
        <f t="shared" si="6"/>
        <v>0</v>
      </c>
      <c r="V9" s="28">
        <f t="shared" si="7"/>
        <v>2200</v>
      </c>
      <c r="W9" s="31">
        <f t="shared" si="8"/>
        <v>113625</v>
      </c>
      <c r="X9" s="32">
        <f t="shared" si="9"/>
        <v>0</v>
      </c>
      <c r="Y9" s="14" t="s">
        <v>189</v>
      </c>
      <c r="Z9" s="58">
        <v>410500</v>
      </c>
      <c r="AA9" s="59">
        <f>Z9*14.65/14.73</f>
        <v>408270.53632043448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-156458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15420</v>
      </c>
      <c r="I10" s="518">
        <v>4580</v>
      </c>
      <c r="J10" s="26"/>
      <c r="K10" s="27">
        <f t="shared" si="0"/>
        <v>20000</v>
      </c>
      <c r="L10" s="28">
        <f t="shared" si="1"/>
        <v>93625</v>
      </c>
      <c r="M10" s="29"/>
      <c r="N10" s="799"/>
      <c r="O10" s="30">
        <f t="shared" si="2"/>
        <v>8.8378258948298719E-2</v>
      </c>
      <c r="P10" s="802"/>
      <c r="Q10" s="31">
        <f t="shared" si="3"/>
        <v>0</v>
      </c>
      <c r="R10" s="31">
        <v>0</v>
      </c>
      <c r="S10" s="28">
        <f t="shared" si="4"/>
        <v>15420</v>
      </c>
      <c r="T10" s="28">
        <f t="shared" si="5"/>
        <v>4580</v>
      </c>
      <c r="U10" s="28">
        <f t="shared" si="6"/>
        <v>0</v>
      </c>
      <c r="V10" s="28">
        <f t="shared" si="7"/>
        <v>20000</v>
      </c>
      <c r="W10" s="31">
        <f t="shared" si="8"/>
        <v>93625</v>
      </c>
      <c r="X10" s="32">
        <f t="shared" si="9"/>
        <v>0</v>
      </c>
      <c r="Y10" s="14" t="s">
        <v>191</v>
      </c>
      <c r="Z10" s="58">
        <f>ROUND((Z9*Z30),0)</f>
        <v>409361</v>
      </c>
      <c r="AA10" s="59">
        <f>Z10*14.65/14.73</f>
        <v>407137.72233537002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75625</v>
      </c>
      <c r="M11" s="29"/>
      <c r="N11" s="799"/>
      <c r="O11" s="30">
        <f t="shared" si="2"/>
        <v>7.9540433053468848E-2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75625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-83357.999999999985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26"/>
      <c r="I12" s="518">
        <v>3600</v>
      </c>
      <c r="J12" s="26"/>
      <c r="K12" s="27">
        <f t="shared" si="0"/>
        <v>3600</v>
      </c>
      <c r="L12" s="28">
        <f t="shared" si="1"/>
        <v>72025</v>
      </c>
      <c r="M12" s="29"/>
      <c r="N12" s="799"/>
      <c r="O12" s="30">
        <f t="shared" si="2"/>
        <v>1.5908086610693768E-2</v>
      </c>
      <c r="P12" s="802"/>
      <c r="Q12" s="31">
        <f t="shared" si="3"/>
        <v>0</v>
      </c>
      <c r="R12" s="31">
        <v>0</v>
      </c>
      <c r="S12" s="28">
        <f t="shared" si="4"/>
        <v>0</v>
      </c>
      <c r="T12" s="28">
        <f t="shared" si="5"/>
        <v>3600</v>
      </c>
      <c r="U12" s="28">
        <f t="shared" si="6"/>
        <v>0</v>
      </c>
      <c r="V12" s="28">
        <f t="shared" si="7"/>
        <v>3600</v>
      </c>
      <c r="W12" s="31">
        <f t="shared" si="8"/>
        <v>72025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26"/>
      <c r="I13" s="518">
        <v>6000</v>
      </c>
      <c r="J13" s="26"/>
      <c r="K13" s="27">
        <f t="shared" si="0"/>
        <v>6000</v>
      </c>
      <c r="L13" s="28">
        <f t="shared" si="1"/>
        <v>66025</v>
      </c>
      <c r="M13" s="29"/>
      <c r="N13" s="799"/>
      <c r="O13" s="30">
        <f t="shared" si="2"/>
        <v>2.6513477684489615E-2</v>
      </c>
      <c r="P13" s="802"/>
      <c r="Q13" s="31">
        <f t="shared" si="3"/>
        <v>0</v>
      </c>
      <c r="R13" s="31">
        <v>0</v>
      </c>
      <c r="S13" s="28">
        <f t="shared" si="4"/>
        <v>0</v>
      </c>
      <c r="T13" s="28">
        <f t="shared" si="5"/>
        <v>6000</v>
      </c>
      <c r="U13" s="28">
        <f t="shared" si="6"/>
        <v>0</v>
      </c>
      <c r="V13" s="28">
        <f t="shared" si="7"/>
        <v>6000</v>
      </c>
      <c r="W13" s="31">
        <f t="shared" si="8"/>
        <v>66025</v>
      </c>
      <c r="X13" s="32">
        <f t="shared" si="9"/>
        <v>0</v>
      </c>
      <c r="Y13" s="14" t="s">
        <v>67</v>
      </c>
      <c r="Z13" s="67">
        <f>Z14/Z30</f>
        <v>410499.69087520993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17200</v>
      </c>
      <c r="I14" s="26">
        <v>0</v>
      </c>
      <c r="J14" s="26"/>
      <c r="K14" s="27">
        <f t="shared" si="0"/>
        <v>17200</v>
      </c>
      <c r="L14" s="28">
        <f t="shared" si="1"/>
        <v>48825</v>
      </c>
      <c r="M14" s="29"/>
      <c r="N14" s="799"/>
      <c r="O14" s="30">
        <f t="shared" si="2"/>
        <v>7.6005302695536903E-2</v>
      </c>
      <c r="P14" s="802"/>
      <c r="Q14" s="31">
        <f t="shared" si="3"/>
        <v>0</v>
      </c>
      <c r="R14" s="31">
        <v>-17200</v>
      </c>
      <c r="S14" s="28">
        <f t="shared" si="4"/>
        <v>0</v>
      </c>
      <c r="T14" s="28">
        <f t="shared" si="5"/>
        <v>0</v>
      </c>
      <c r="U14" s="28">
        <f t="shared" si="6"/>
        <v>0</v>
      </c>
      <c r="V14" s="28">
        <f t="shared" si="7"/>
        <v>0</v>
      </c>
      <c r="W14" s="31">
        <f t="shared" si="8"/>
        <v>66025</v>
      </c>
      <c r="X14" s="32">
        <f t="shared" si="9"/>
        <v>17200</v>
      </c>
      <c r="Y14" s="14" t="s">
        <v>70</v>
      </c>
      <c r="Z14" s="67">
        <f>+Z10-(Z11+Z12)</f>
        <v>409361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31625</v>
      </c>
      <c r="M15" s="29"/>
      <c r="N15" s="799"/>
      <c r="O15" s="30">
        <f t="shared" si="2"/>
        <v>7.6005302695536903E-2</v>
      </c>
      <c r="P15" s="802"/>
      <c r="Q15" s="31">
        <f t="shared" si="3"/>
        <v>0</v>
      </c>
      <c r="R15" s="31">
        <v>-17200</v>
      </c>
      <c r="S15" s="28">
        <f t="shared" si="4"/>
        <v>0</v>
      </c>
      <c r="T15" s="28">
        <f t="shared" si="5"/>
        <v>0</v>
      </c>
      <c r="U15" s="28">
        <f t="shared" si="6"/>
        <v>0</v>
      </c>
      <c r="V15" s="28">
        <f t="shared" si="7"/>
        <v>0</v>
      </c>
      <c r="W15" s="31">
        <f t="shared" si="8"/>
        <v>66025</v>
      </c>
      <c r="X15" s="32">
        <f t="shared" si="9"/>
        <v>34400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11125</v>
      </c>
      <c r="M16" s="29"/>
      <c r="N16" s="799"/>
      <c r="O16" s="30">
        <f t="shared" si="2"/>
        <v>9.0587715422006193E-2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45525</v>
      </c>
      <c r="X16" s="32">
        <f t="shared" si="9"/>
        <v>34400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680</v>
      </c>
      <c r="I17" s="518">
        <v>5000</v>
      </c>
      <c r="J17" s="26"/>
      <c r="K17" s="27">
        <f t="shared" si="0"/>
        <v>5680</v>
      </c>
      <c r="L17" s="28">
        <f t="shared" si="1"/>
        <v>5445</v>
      </c>
      <c r="M17" s="29"/>
      <c r="N17" s="799"/>
      <c r="O17" s="30">
        <f t="shared" si="2"/>
        <v>2.5099425541316837E-2</v>
      </c>
      <c r="P17" s="802"/>
      <c r="Q17" s="31">
        <f t="shared" si="3"/>
        <v>0</v>
      </c>
      <c r="R17" s="31">
        <v>0</v>
      </c>
      <c r="S17" s="28">
        <f t="shared" si="4"/>
        <v>680</v>
      </c>
      <c r="T17" s="28">
        <f t="shared" si="5"/>
        <v>5000</v>
      </c>
      <c r="U17" s="28">
        <f t="shared" si="6"/>
        <v>0</v>
      </c>
      <c r="V17" s="28">
        <f t="shared" si="7"/>
        <v>5680</v>
      </c>
      <c r="W17" s="31">
        <f t="shared" si="8"/>
        <v>39845</v>
      </c>
      <c r="X17" s="32">
        <f t="shared" si="9"/>
        <v>34400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320</v>
      </c>
      <c r="J18" s="26"/>
      <c r="K18" s="27">
        <f t="shared" si="0"/>
        <v>320</v>
      </c>
      <c r="L18" s="28">
        <f t="shared" si="1"/>
        <v>5125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320</v>
      </c>
      <c r="U18" s="28">
        <f t="shared" si="6"/>
        <v>0</v>
      </c>
      <c r="V18" s="28">
        <f t="shared" si="7"/>
        <v>320</v>
      </c>
      <c r="W18" s="31">
        <f t="shared" si="8"/>
        <v>39525</v>
      </c>
      <c r="X18" s="32"/>
      <c r="Y18" s="14" t="s">
        <v>77</v>
      </c>
      <c r="Z18" s="71">
        <f>ROUND(Z14*0.43,0)</f>
        <v>176025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>
        <v>0</v>
      </c>
      <c r="I19" s="26"/>
      <c r="J19" s="26"/>
      <c r="K19" s="27">
        <f t="shared" si="0"/>
        <v>0</v>
      </c>
      <c r="L19" s="28">
        <f t="shared" si="1"/>
        <v>5125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39525</v>
      </c>
      <c r="X19" s="32">
        <f t="shared" si="9"/>
        <v>34400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3625</v>
      </c>
      <c r="M20" s="29"/>
      <c r="N20" s="799"/>
      <c r="O20" s="30">
        <f t="shared" si="2"/>
        <v>6.6283694211224037E-3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38025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3625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38025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-3875</v>
      </c>
      <c r="M22" s="29"/>
      <c r="N22" s="799"/>
      <c r="O22" s="30">
        <f t="shared" si="2"/>
        <v>3.3141847105612021E-2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30525</v>
      </c>
      <c r="X22" s="32">
        <f t="shared" si="9"/>
        <v>34400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-3875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30525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-3875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30525</v>
      </c>
      <c r="X24" s="32">
        <f t="shared" si="9"/>
        <v>34400</v>
      </c>
      <c r="Y24" s="74" t="s">
        <v>169</v>
      </c>
      <c r="Z24" s="75">
        <f>+Z18+Z19</f>
        <v>176025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-15875</v>
      </c>
      <c r="M25" s="29"/>
      <c r="N25" s="799"/>
      <c r="O25" s="30">
        <f t="shared" si="2"/>
        <v>5.302695536897923E-2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88" si="11">+W24-V25</f>
        <v>18525</v>
      </c>
      <c r="X25" s="32">
        <f t="shared" si="9"/>
        <v>34400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-50275</v>
      </c>
      <c r="M26" s="86"/>
      <c r="N26" s="800"/>
      <c r="O26" s="87">
        <f t="shared" si="2"/>
        <v>0.15201060539107381</v>
      </c>
      <c r="P26" s="803"/>
      <c r="Q26" s="144">
        <f t="shared" si="3"/>
        <v>0</v>
      </c>
      <c r="R26" s="144">
        <v>-34400</v>
      </c>
      <c r="S26" s="423">
        <f t="shared" si="4"/>
        <v>0</v>
      </c>
      <c r="T26" s="423">
        <f t="shared" si="5"/>
        <v>0</v>
      </c>
      <c r="U26" s="423">
        <f t="shared" si="6"/>
        <v>0</v>
      </c>
      <c r="V26" s="423">
        <f t="shared" si="7"/>
        <v>0</v>
      </c>
      <c r="W26" s="31">
        <f t="shared" si="11"/>
        <v>18525</v>
      </c>
      <c r="X26" s="32">
        <f t="shared" si="9"/>
        <v>68800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-50275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1"/>
        <v>18525</v>
      </c>
      <c r="X27" s="32">
        <f t="shared" si="9"/>
        <v>68800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-50275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18525</v>
      </c>
      <c r="X28" s="32">
        <f t="shared" si="9"/>
        <v>68800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-50275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18525</v>
      </c>
      <c r="X29" s="32">
        <f t="shared" si="9"/>
        <v>68800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-50275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18525</v>
      </c>
      <c r="X30" s="32">
        <f t="shared" si="9"/>
        <v>68800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-50275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18525</v>
      </c>
      <c r="X31" s="32">
        <f t="shared" si="9"/>
        <v>68800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-50275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18525</v>
      </c>
      <c r="X32" s="32">
        <f t="shared" si="9"/>
        <v>68800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-50275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18525</v>
      </c>
      <c r="X33" s="32">
        <f t="shared" si="9"/>
        <v>68800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-50275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18525</v>
      </c>
      <c r="X34" s="32">
        <f t="shared" si="9"/>
        <v>68800</v>
      </c>
      <c r="Y34" s="806"/>
      <c r="Z34" s="112">
        <v>100000</v>
      </c>
      <c r="AA34" s="113">
        <f>AD5-Z34</f>
        <v>-86458</v>
      </c>
      <c r="AB34" s="113">
        <f>Z34+AA34</f>
        <v>13542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-50275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18525</v>
      </c>
      <c r="X35" s="32">
        <f>W35-L35</f>
        <v>68800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-50275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18525</v>
      </c>
      <c r="X36" s="32">
        <f t="shared" si="9"/>
        <v>68800</v>
      </c>
      <c r="Y36" s="117" t="s">
        <v>60</v>
      </c>
      <c r="Z36" s="113">
        <f>Z34*57%</f>
        <v>56999.999999999993</v>
      </c>
      <c r="AA36" s="113">
        <f>AD3-Z36</f>
        <v>-43457.999999999993</v>
      </c>
      <c r="AB36" s="113">
        <f>Z36+AA36</f>
        <v>13542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-50275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18525</v>
      </c>
      <c r="X37" s="32">
        <f t="shared" si="9"/>
        <v>68800</v>
      </c>
      <c r="Y37" s="117" t="s">
        <v>94</v>
      </c>
      <c r="Z37" s="113">
        <f>+Z35+Z36</f>
        <v>100000</v>
      </c>
      <c r="AA37" s="113">
        <f>SUM(AA35:AA36)</f>
        <v>-86458</v>
      </c>
      <c r="AB37" s="113">
        <f>Z37+AA37</f>
        <v>13542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0</v>
      </c>
      <c r="I38" s="26"/>
      <c r="J38" s="26"/>
      <c r="K38" s="27">
        <f t="shared" si="0"/>
        <v>0</v>
      </c>
      <c r="L38" s="28">
        <f>+L37-K38</f>
        <v>-50275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18525</v>
      </c>
      <c r="X38" s="32">
        <f t="shared" si="9"/>
        <v>68800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-50275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18525</v>
      </c>
      <c r="X39" s="32">
        <f t="shared" si="9"/>
        <v>68800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-50275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18525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-50275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18525</v>
      </c>
      <c r="X41" s="32">
        <f t="shared" si="9"/>
        <v>68800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-50275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18525</v>
      </c>
      <c r="X42" s="32">
        <f t="shared" si="9"/>
        <v>68800</v>
      </c>
      <c r="Y42" s="74" t="s">
        <v>96</v>
      </c>
      <c r="Z42" s="75">
        <v>35500</v>
      </c>
      <c r="AA42" s="129">
        <f>+H7+H8+H17+H18+H19+H22+H32+H33+H43+H44+H45+H53</f>
        <v>26846</v>
      </c>
      <c r="AB42" s="129">
        <f>+I7+I8+I17+I18+I19+I22+I32+I33+I43+I44+I45+I53</f>
        <v>9154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-50275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18525</v>
      </c>
      <c r="X43" s="32">
        <f t="shared" si="9"/>
        <v>68800</v>
      </c>
      <c r="Y43" s="131" t="s">
        <v>97</v>
      </c>
      <c r="Z43" s="132">
        <v>50000</v>
      </c>
      <c r="AA43" s="133">
        <f>+H10+H11+H25+H35+H36+H47</f>
        <v>45420</v>
      </c>
      <c r="AB43" s="133">
        <f>+I10+I11+I25+I35+I36+I47</f>
        <v>4580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-50275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18525</v>
      </c>
      <c r="X44" s="32">
        <f t="shared" si="9"/>
        <v>68800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-50275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18525</v>
      </c>
      <c r="X45" s="32">
        <f t="shared" si="9"/>
        <v>68800</v>
      </c>
      <c r="Y45" s="131" t="s">
        <v>98</v>
      </c>
      <c r="Z45" s="132">
        <v>9600</v>
      </c>
      <c r="AA45" s="133">
        <f>+H12+H13+H37+H38</f>
        <v>0</v>
      </c>
      <c r="AB45" s="133">
        <f>+I12+I13+I37+I38</f>
        <v>9600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-60275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11"/>
        <v>8525</v>
      </c>
      <c r="X46" s="32">
        <f t="shared" si="9"/>
        <v>68800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-60275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8525</v>
      </c>
      <c r="X47" s="32">
        <f t="shared" si="9"/>
        <v>68800</v>
      </c>
      <c r="Y47" s="57">
        <v>20000</v>
      </c>
      <c r="Z47" s="89">
        <v>4586</v>
      </c>
      <c r="AA47" s="35"/>
      <c r="AB47" s="57">
        <f>57000-AA60</f>
        <v>43458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-60275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8525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-60275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8525</v>
      </c>
      <c r="X49" s="32">
        <f t="shared" si="9"/>
        <v>68800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-60275</v>
      </c>
      <c r="M50" s="95"/>
      <c r="N50" s="804">
        <f>SUM(K50:K55)</f>
        <v>32000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8525</v>
      </c>
      <c r="X50" s="32">
        <f t="shared" si="9"/>
        <v>68800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59">
        <v>15000</v>
      </c>
      <c r="J51" s="26"/>
      <c r="K51" s="444">
        <f t="shared" si="0"/>
        <v>15000</v>
      </c>
      <c r="L51" s="28">
        <f t="shared" si="1"/>
        <v>-75275</v>
      </c>
      <c r="M51" s="234"/>
      <c r="N51" s="799"/>
      <c r="O51" s="184"/>
      <c r="P51" s="802"/>
      <c r="Q51" s="31"/>
      <c r="R51" s="31">
        <v>-9823</v>
      </c>
      <c r="S51" s="422">
        <f t="shared" si="4"/>
        <v>0</v>
      </c>
      <c r="T51" s="28">
        <f t="shared" si="5"/>
        <v>5177</v>
      </c>
      <c r="U51" s="28">
        <f t="shared" si="6"/>
        <v>0</v>
      </c>
      <c r="V51" s="28">
        <f t="shared" si="7"/>
        <v>5177</v>
      </c>
      <c r="W51" s="31">
        <f t="shared" si="11"/>
        <v>3348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-75275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3348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59">
        <v>2000</v>
      </c>
      <c r="I53" s="26"/>
      <c r="J53" s="26"/>
      <c r="K53" s="27">
        <f t="shared" si="0"/>
        <v>2000</v>
      </c>
      <c r="L53" s="28">
        <f>+L52-K53</f>
        <v>-77275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>
        <v>-1309</v>
      </c>
      <c r="S53" s="28">
        <f t="shared" si="4"/>
        <v>691</v>
      </c>
      <c r="T53" s="28">
        <f t="shared" si="5"/>
        <v>0</v>
      </c>
      <c r="U53" s="28">
        <f t="shared" si="6"/>
        <v>0</v>
      </c>
      <c r="V53" s="28">
        <f t="shared" si="7"/>
        <v>691</v>
      </c>
      <c r="W53" s="31">
        <f t="shared" si="11"/>
        <v>2657</v>
      </c>
      <c r="X53" s="32">
        <f t="shared" si="9"/>
        <v>79932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-77275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2657</v>
      </c>
      <c r="X54" s="32">
        <f t="shared" si="9"/>
        <v>79932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59">
        <v>15000</v>
      </c>
      <c r="J55" s="143"/>
      <c r="K55" s="27">
        <f t="shared" si="0"/>
        <v>15000</v>
      </c>
      <c r="L55" s="28">
        <f t="shared" si="1"/>
        <v>-92275</v>
      </c>
      <c r="M55" s="86"/>
      <c r="N55" s="800"/>
      <c r="O55" s="87">
        <f t="shared" si="12"/>
        <v>1.5</v>
      </c>
      <c r="P55" s="803"/>
      <c r="Q55" s="97">
        <f t="shared" si="13"/>
        <v>0</v>
      </c>
      <c r="R55" s="31">
        <v>-9823</v>
      </c>
      <c r="S55" s="423">
        <f t="shared" si="4"/>
        <v>0</v>
      </c>
      <c r="T55" s="28">
        <f>IF(I55&lt;&gt;0,+I55+Q55+R55,0)</f>
        <v>5177</v>
      </c>
      <c r="U55" s="423">
        <f t="shared" si="6"/>
        <v>0</v>
      </c>
      <c r="V55" s="423">
        <f>+S55+T55+U55</f>
        <v>5177</v>
      </c>
      <c r="W55" s="31">
        <f t="shared" si="11"/>
        <v>-2520</v>
      </c>
      <c r="X55" s="119">
        <f t="shared" si="9"/>
        <v>89755</v>
      </c>
      <c r="Y55" s="807">
        <f>Z8</f>
        <v>41918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-92275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-2520</v>
      </c>
      <c r="X56" s="119">
        <f t="shared" si="9"/>
        <v>89755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-92275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-2520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-92275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-2520</v>
      </c>
      <c r="X58" s="408"/>
      <c r="Y58" s="180" t="s">
        <v>7</v>
      </c>
      <c r="Z58" s="181">
        <f>+AB4</f>
        <v>50994</v>
      </c>
      <c r="AA58" s="182">
        <f>+AB3</f>
        <v>70870</v>
      </c>
      <c r="AB58" s="182">
        <f>Z12</f>
        <v>0</v>
      </c>
      <c r="AC58" s="181">
        <f>AB10</f>
        <v>0</v>
      </c>
      <c r="AD58" s="183">
        <f>SUM(Z58:AC58)</f>
        <v>121864</v>
      </c>
      <c r="AE58" s="185">
        <v>90000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-92275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-2520</v>
      </c>
      <c r="X59" s="408"/>
      <c r="Y59" s="180" t="s">
        <v>17</v>
      </c>
      <c r="Z59" s="182">
        <f>+AC4</f>
        <v>125031</v>
      </c>
      <c r="AA59" s="182">
        <f>AC3</f>
        <v>148924</v>
      </c>
      <c r="AB59" s="182">
        <f>Z11</f>
        <v>0</v>
      </c>
      <c r="AC59" s="181">
        <v>0</v>
      </c>
      <c r="AD59" s="183">
        <f>SUM(Z59:AC59)</f>
        <v>273955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-4996.6666666666861</v>
      </c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-92275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-2520</v>
      </c>
      <c r="X60" s="408"/>
      <c r="Y60" s="180" t="s">
        <v>112</v>
      </c>
      <c r="Z60" s="181">
        <f>+AD4+AH11</f>
        <v>0</v>
      </c>
      <c r="AA60" s="182">
        <f>+AD3+AH10</f>
        <v>13542</v>
      </c>
      <c r="AB60" s="191">
        <v>0</v>
      </c>
      <c r="AC60" s="181">
        <v>0</v>
      </c>
      <c r="AD60" s="183">
        <f>SUM(Z60:AC60)</f>
        <v>13542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-92275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-2520</v>
      </c>
      <c r="X61" s="408"/>
      <c r="Y61" s="193" t="s">
        <v>113</v>
      </c>
      <c r="Z61" s="194">
        <f>SUM(Z58:Z60)</f>
        <v>176025</v>
      </c>
      <c r="AA61" s="194">
        <f>SUM(AA58:AA60)</f>
        <v>233336</v>
      </c>
      <c r="AB61" s="194">
        <f>SUM(AB58:AB60)</f>
        <v>0</v>
      </c>
      <c r="AC61" s="194">
        <f>AB10</f>
        <v>0</v>
      </c>
      <c r="AD61" s="195">
        <f>SUM(AD58:AD60)</f>
        <v>409361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-92275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-2520</v>
      </c>
      <c r="X62" s="408"/>
      <c r="Y62" s="199" t="s">
        <v>114</v>
      </c>
      <c r="Z62" s="200">
        <f>(Z58/$Z$28+(Z59/$Z$27)+(Z60/$Z$29))</f>
        <v>176506.96882489175</v>
      </c>
      <c r="AA62" s="200">
        <f>(AA58/$Z$28+(AA59/$Z$27)+(AA60/$Z$29))</f>
        <v>233976.3390987317</v>
      </c>
      <c r="AB62" s="200">
        <f>(AB58/$Z$28)+(AB59/$Z$27)</f>
        <v>0</v>
      </c>
      <c r="AC62" s="200">
        <f>AB9</f>
        <v>0</v>
      </c>
      <c r="AD62" s="201">
        <f>(AD58/$Z$28+(AD59/$Z$27)+(AD60/$Z$29))</f>
        <v>410483.30792362348</v>
      </c>
      <c r="AE62" s="185">
        <f>AD62*14.65/14.73</f>
        <v>408253.93490027724</v>
      </c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-92275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-2520</v>
      </c>
      <c r="X63" s="408"/>
      <c r="Y63" s="368" t="s">
        <v>293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-92275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-2520</v>
      </c>
      <c r="X64" s="408"/>
      <c r="Y64" s="368" t="s">
        <v>303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-92275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-2520</v>
      </c>
      <c r="X65" s="408"/>
      <c r="Y65" s="371" t="s">
        <v>115</v>
      </c>
      <c r="Z65" s="484"/>
      <c r="AA65" s="203">
        <v>118686</v>
      </c>
      <c r="AB65" s="204"/>
      <c r="AC65" s="204"/>
      <c r="AD65" s="205"/>
      <c r="AE65" s="32">
        <v>108797.23749999999</v>
      </c>
      <c r="AF65" s="53">
        <f>+AA65-AE65</f>
        <v>9888.7625000000116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-92275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-2520</v>
      </c>
      <c r="X66" s="408"/>
      <c r="Y66" s="814" t="s">
        <v>116</v>
      </c>
      <c r="Z66" s="815"/>
      <c r="AA66" s="203">
        <v>130725</v>
      </c>
      <c r="AB66" s="208"/>
      <c r="AC66" s="208"/>
      <c r="AD66" s="209"/>
      <c r="AE66" s="13">
        <v>52014.378240000005</v>
      </c>
      <c r="AF66" s="53">
        <f>+AA66-AE66</f>
        <v>78710.621759999995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-92275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-2520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-92275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-2520</v>
      </c>
      <c r="X68" s="211"/>
      <c r="Y68" s="814" t="s">
        <v>188</v>
      </c>
      <c r="Z68" s="815"/>
      <c r="AA68" s="207">
        <f>Z9*Z30+AC61</f>
        <v>409361.30826730444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-92275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-2520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-92275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-2520</v>
      </c>
      <c r="X70" s="211"/>
      <c r="Y70" s="213"/>
      <c r="Z70" s="232">
        <f>+Z61-2200</f>
        <v>173825</v>
      </c>
      <c r="AA70" s="213"/>
      <c r="AB70" s="213"/>
      <c r="AC70" s="213"/>
      <c r="AD70" s="233">
        <v>491197</v>
      </c>
      <c r="AE70" s="233">
        <f>+AD70-(Z61+AA61)</f>
        <v>81836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-92275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-2520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-92275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-2520</v>
      </c>
      <c r="X72" s="211"/>
      <c r="Y72" s="214" t="s">
        <v>47</v>
      </c>
      <c r="Z72" s="215">
        <f>Z8</f>
        <v>41918</v>
      </c>
      <c r="AA72" s="818" t="s">
        <v>118</v>
      </c>
      <c r="AB72" s="818"/>
      <c r="AC72" s="818"/>
      <c r="AD72" s="216">
        <v>20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4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-92275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-2520</v>
      </c>
      <c r="X73" s="211"/>
      <c r="Y73" s="214" t="s">
        <v>119</v>
      </c>
      <c r="Z73" s="480">
        <f>AD72</f>
        <v>20</v>
      </c>
      <c r="AA73" s="581" t="s">
        <v>120</v>
      </c>
      <c r="AB73" s="581"/>
      <c r="AC73" s="581"/>
      <c r="AD73" s="219">
        <f>24-AD72</f>
        <v>4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129000</v>
      </c>
      <c r="AO73" s="373">
        <f>AN73*AM72/24</f>
        <v>21500</v>
      </c>
      <c r="AP73" s="19">
        <f>21500*AD72/24</f>
        <v>17916.666666666668</v>
      </c>
      <c r="AQ73" s="19">
        <f>21500-AP73</f>
        <v>3583.3333333333321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-92275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-2520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580" t="s">
        <v>127</v>
      </c>
      <c r="AK74" s="819"/>
      <c r="AL74" s="819"/>
      <c r="AM74" s="20" t="s">
        <v>232</v>
      </c>
      <c r="AN74" s="19">
        <f>Z79-AN73</f>
        <v>196175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-92275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-2520</v>
      </c>
      <c r="X75" s="211"/>
      <c r="Y75" s="580" t="s">
        <v>121</v>
      </c>
      <c r="Z75" s="580" t="s">
        <v>122</v>
      </c>
      <c r="AA75" s="580" t="s">
        <v>123</v>
      </c>
      <c r="AB75" s="820" t="s">
        <v>124</v>
      </c>
      <c r="AC75" s="821"/>
      <c r="AD75" s="822"/>
      <c r="AE75" s="580" t="s">
        <v>125</v>
      </c>
      <c r="AF75" s="580" t="s">
        <v>126</v>
      </c>
      <c r="AG75" s="149"/>
      <c r="AH75" s="580" t="s">
        <v>121</v>
      </c>
      <c r="AI75" s="580"/>
      <c r="AJ75" s="214" t="s">
        <v>7</v>
      </c>
      <c r="AK75" s="236">
        <f>((+AD78-AA78)/$AD$73)*24</f>
        <v>111030</v>
      </c>
      <c r="AL75" s="236">
        <f>AK75</f>
        <v>111030</v>
      </c>
      <c r="AM75" s="20" t="s">
        <v>7</v>
      </c>
      <c r="AN75" s="19">
        <f>AD58</f>
        <v>121864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-92275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-2520</v>
      </c>
      <c r="X76" s="211"/>
      <c r="Y76" s="580"/>
      <c r="Z76" s="580"/>
      <c r="AA76" s="580"/>
      <c r="AB76" s="580"/>
      <c r="AC76" s="580"/>
      <c r="AD76" s="580"/>
      <c r="AE76" s="580"/>
      <c r="AF76" s="580"/>
      <c r="AG76" s="149"/>
      <c r="AH76" s="580"/>
      <c r="AI76" s="580"/>
      <c r="AJ76" s="214" t="s">
        <v>6</v>
      </c>
      <c r="AK76" s="236">
        <f>((+AD79-AA79)/$AD$73)*24</f>
        <v>248298</v>
      </c>
      <c r="AL76" s="236">
        <f>+AK76</f>
        <v>248298</v>
      </c>
      <c r="AM76" s="464"/>
      <c r="AN76" s="19">
        <f>SUM(AN73:AN75)</f>
        <v>447039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-92275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-2520</v>
      </c>
      <c r="X77" s="211"/>
      <c r="Y77" s="580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580"/>
      <c r="AI77" s="78"/>
      <c r="AJ77" s="214" t="s">
        <v>8</v>
      </c>
      <c r="AK77" s="236">
        <f>((+AD80-AA80)/$AD$73)*24</f>
        <v>-34356</v>
      </c>
      <c r="AL77" s="236">
        <f>AK77</f>
        <v>-34356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-92275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-2520</v>
      </c>
      <c r="X78" s="211"/>
      <c r="Y78" s="214" t="s">
        <v>7</v>
      </c>
      <c r="Z78" s="224">
        <v>145104</v>
      </c>
      <c r="AA78" s="225">
        <v>103359</v>
      </c>
      <c r="AB78" s="226">
        <f t="shared" ref="AB78:AC80" si="22">+Z58</f>
        <v>50994</v>
      </c>
      <c r="AC78" s="226">
        <f t="shared" si="22"/>
        <v>70870</v>
      </c>
      <c r="AD78" s="226">
        <f>+AB78+AC78+AB58+AC58</f>
        <v>121864</v>
      </c>
      <c r="AE78" s="519">
        <v>117694</v>
      </c>
      <c r="AF78" s="227">
        <f>+AE78-AD78</f>
        <v>-4170</v>
      </c>
      <c r="AG78" s="212"/>
      <c r="AH78" s="214" t="s">
        <v>7</v>
      </c>
      <c r="AI78" s="446">
        <f>+AA78</f>
        <v>103359</v>
      </c>
      <c r="AK78" s="231">
        <f>+SUM(AK75:AK77)</f>
        <v>324972</v>
      </c>
      <c r="AL78" s="231">
        <f>+SUM(AL75:AL77)</f>
        <v>324972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-92275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-2520</v>
      </c>
      <c r="X79" s="211"/>
      <c r="Y79" s="214" t="s">
        <v>6</v>
      </c>
      <c r="Z79" s="224">
        <v>325175</v>
      </c>
      <c r="AA79" s="225">
        <v>232572</v>
      </c>
      <c r="AB79" s="226">
        <f t="shared" si="22"/>
        <v>125031</v>
      </c>
      <c r="AC79" s="226">
        <f t="shared" si="22"/>
        <v>148924</v>
      </c>
      <c r="AD79" s="226">
        <f>+AB79+AC79+AB59</f>
        <v>273955</v>
      </c>
      <c r="AE79" s="519">
        <v>263610</v>
      </c>
      <c r="AF79" s="227">
        <f>+AE79-AD79</f>
        <v>-10345</v>
      </c>
      <c r="AG79" s="212"/>
      <c r="AH79" s="214" t="s">
        <v>6</v>
      </c>
      <c r="AI79" s="446">
        <f>+AA79</f>
        <v>232572</v>
      </c>
      <c r="AJ79" s="53"/>
      <c r="AK79" s="481">
        <v>536741</v>
      </c>
      <c r="AL79" s="481">
        <f>AK79-AK78</f>
        <v>211769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-92275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-2520</v>
      </c>
      <c r="X80" s="211"/>
      <c r="Y80" s="214" t="s">
        <v>8</v>
      </c>
      <c r="Z80" s="224">
        <v>25000</v>
      </c>
      <c r="AA80" s="225">
        <v>19268</v>
      </c>
      <c r="AB80" s="226">
        <f t="shared" si="22"/>
        <v>0</v>
      </c>
      <c r="AC80" s="226">
        <f t="shared" si="22"/>
        <v>13542</v>
      </c>
      <c r="AD80" s="226">
        <f>+AB80+AC80</f>
        <v>13542</v>
      </c>
      <c r="AE80" s="519">
        <v>19268</v>
      </c>
      <c r="AF80" s="227">
        <f>+AE80-AD80</f>
        <v>5726</v>
      </c>
      <c r="AG80" s="149"/>
      <c r="AH80" s="214" t="s">
        <v>8</v>
      </c>
      <c r="AI80" s="447">
        <f>+AA80</f>
        <v>19268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-92275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-2520</v>
      </c>
      <c r="X81" s="211"/>
      <c r="Y81" s="228" t="s">
        <v>130</v>
      </c>
      <c r="Z81" s="229">
        <f t="shared" ref="Z81:AE81" si="23">SUM(Z78:Z80)</f>
        <v>495279</v>
      </c>
      <c r="AA81" s="230">
        <f t="shared" si="23"/>
        <v>355199</v>
      </c>
      <c r="AB81" s="229">
        <f t="shared" si="23"/>
        <v>176025</v>
      </c>
      <c r="AC81" s="229">
        <f t="shared" si="23"/>
        <v>233336</v>
      </c>
      <c r="AD81" s="229">
        <f t="shared" si="23"/>
        <v>409361</v>
      </c>
      <c r="AE81" s="229">
        <f t="shared" si="23"/>
        <v>400572</v>
      </c>
      <c r="AF81" s="227">
        <f>+SUM(AF78:AF80)</f>
        <v>-8789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-92275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-2520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-92275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-2520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-92275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-2520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-92275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-2520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-92275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-2520</v>
      </c>
      <c r="Y86" s="14" t="s">
        <v>177</v>
      </c>
      <c r="Z86" s="336" t="s">
        <v>178</v>
      </c>
      <c r="AA86" s="337">
        <f>+AA81</f>
        <v>355199</v>
      </c>
      <c r="AB86" s="337">
        <f>AA87-AA86</f>
        <v>-83009.270833333314</v>
      </c>
      <c r="AC86" s="42">
        <f>AB86*24/5.5</f>
        <v>-362222.27272727265</v>
      </c>
      <c r="AD86" s="338">
        <f>AC86+353111</f>
        <v>-9111.2727272726479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-92275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-2520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-2087.9999999999818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-92275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-2520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-92275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-2520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-92275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-2520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-92275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-2520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-92275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-2520</v>
      </c>
      <c r="Y92" s="882" t="s">
        <v>158</v>
      </c>
      <c r="Z92" s="586" t="s">
        <v>283</v>
      </c>
      <c r="AA92" s="587">
        <f>SUMIF($D$2:$D$57,"domiciliario",$I$2:$I$103)</f>
        <v>29540</v>
      </c>
      <c r="AB92" s="587">
        <f>SUMIF($D$2:$D$57,"domiciliario",$T$2:$T$103)</f>
        <v>29540</v>
      </c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-92275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-2520</v>
      </c>
      <c r="Y93" s="883"/>
      <c r="Z93" s="588" t="s">
        <v>284</v>
      </c>
      <c r="AA93" s="589">
        <f>SUMIF($D$2:$D$57,"industrial",$I$2:$I$103)</f>
        <v>0</v>
      </c>
      <c r="AB93" s="589">
        <f>SUMIF($D$2:$D$57,"industrial",$T$2:$T$103)</f>
        <v>0</v>
      </c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-92275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-2520</v>
      </c>
      <c r="Y94" s="883"/>
      <c r="Z94" s="588" t="s">
        <v>80</v>
      </c>
      <c r="AA94" s="589">
        <f>SUMIF($D$2:$D$57,"gnv",$I$2:$I$103)</f>
        <v>320</v>
      </c>
      <c r="AB94" s="589">
        <f>SUMIF($D$2:$D$57,"gnv",$T$2:$T$103)</f>
        <v>320</v>
      </c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-92275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-2520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49180</v>
      </c>
      <c r="AB95" s="589">
        <f>SUMIF($D$2:$D$57,"termico",$T$2:$T$103)+SUMIF($D$2:$D$57,"electrico",$T$2:$T$103)+SUMIF($D$2:$D$57,"térmico",$T$2:$T$103)</f>
        <v>29534</v>
      </c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-92275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-2520</v>
      </c>
      <c r="Y96" s="884"/>
      <c r="Z96" s="590" t="s">
        <v>286</v>
      </c>
      <c r="AA96" s="591"/>
      <c r="AB96" s="591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-92275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-2520</v>
      </c>
      <c r="Y97" s="825" t="s">
        <v>154</v>
      </c>
      <c r="Z97" s="489" t="s">
        <v>283</v>
      </c>
      <c r="AA97" s="490">
        <f>SUMIF($D$2:$D$57,"domiciliario",$H$2:$H$103)</f>
        <v>32860</v>
      </c>
      <c r="AB97" s="490">
        <f>SUMIF($D$2:$D$57,"domiciliario",$S$2:$S$103)</f>
        <v>32860</v>
      </c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-92275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-2520</v>
      </c>
      <c r="Y98" s="826"/>
      <c r="Z98" s="492" t="s">
        <v>284</v>
      </c>
      <c r="AA98" s="493">
        <f>SUMIF($D$2:$D$57,"industrial",$H$2:$H$103)</f>
        <v>34000</v>
      </c>
      <c r="AB98" s="493">
        <f>SUMIF($D$2:$D$57,"industrial",$S$2:$S$103)</f>
        <v>32691</v>
      </c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-92275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-2520</v>
      </c>
      <c r="Y99" s="826"/>
      <c r="Z99" s="492" t="s">
        <v>80</v>
      </c>
      <c r="AA99" s="493">
        <f>SUMIF($D$2:$D$57,"gnv",$H$2:$H$103)</f>
        <v>0</v>
      </c>
      <c r="AB99" s="493">
        <f>SUMIF($D$2:$D$57,"gnv",$S$2:$S$103)</f>
        <v>0</v>
      </c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-92275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-2520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88000</v>
      </c>
      <c r="AB100" s="493">
        <f>SUMIF($D$2:$D$57,"termico",$S$2:$S$103)+SUMIF($D$2:$D$57,"electrico",$S$2:$S$103)+SUMIF($D$2:$D$57,"térmico",$S$2:$S$103)</f>
        <v>53600</v>
      </c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-92275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-2520</v>
      </c>
      <c r="Y101" s="827"/>
      <c r="Z101" s="5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-92275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-2520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-92275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-2520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154860</v>
      </c>
      <c r="I105" s="252">
        <f>+SUM(I2:I103)</f>
        <v>79040</v>
      </c>
      <c r="J105" s="252">
        <f>+SUM(J2:J103)</f>
        <v>34400</v>
      </c>
      <c r="K105" s="252">
        <f>SUM(K2:K103)</f>
        <v>268300</v>
      </c>
      <c r="L105" s="253">
        <f>+L103</f>
        <v>-92275</v>
      </c>
      <c r="M105" s="252">
        <f>SUM(M2:M103)</f>
        <v>0</v>
      </c>
      <c r="N105" s="252">
        <f>SUM(N2:N103)</f>
        <v>268300</v>
      </c>
      <c r="O105" s="252"/>
      <c r="P105" s="252">
        <f>SUM(P2:P103)</f>
        <v>0</v>
      </c>
      <c r="Q105" s="252">
        <f>SUM(Q2:Q103)</f>
        <v>0</v>
      </c>
      <c r="R105" s="252">
        <f>SUM(R2:R103)</f>
        <v>-89755</v>
      </c>
      <c r="S105" s="252">
        <f>SUM(S2:S103)</f>
        <v>119151</v>
      </c>
      <c r="T105" s="252">
        <f>+SUM(T2:T103)</f>
        <v>59394</v>
      </c>
      <c r="U105" s="252">
        <f>SUM(U2:U103)</f>
        <v>0</v>
      </c>
      <c r="V105" s="252">
        <f>SUM(V2:V103)</f>
        <v>178545</v>
      </c>
      <c r="W105" s="254">
        <f>+W103</f>
        <v>-2520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>
        <f>J93-8783</f>
        <v>-8783</v>
      </c>
      <c r="S106" s="119">
        <v>131959</v>
      </c>
      <c r="T106" s="116">
        <v>78079</v>
      </c>
      <c r="W106" s="119"/>
      <c r="Y106" s="830"/>
      <c r="Z106" s="5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575" t="s">
        <v>304</v>
      </c>
      <c r="I107" s="575" t="s">
        <v>150</v>
      </c>
      <c r="J107" s="575" t="s">
        <v>306</v>
      </c>
      <c r="K107" s="576" t="s">
        <v>307</v>
      </c>
      <c r="L107" s="287" t="s">
        <v>308</v>
      </c>
      <c r="M107" s="259"/>
      <c r="N107" s="259"/>
      <c r="O107" s="259"/>
      <c r="P107" s="259"/>
      <c r="Q107" s="116"/>
      <c r="R107" s="116"/>
      <c r="S107" s="119">
        <f>S106-S105</f>
        <v>12808</v>
      </c>
      <c r="T107" s="119">
        <f>T106-T105</f>
        <v>18685</v>
      </c>
      <c r="U107" s="116">
        <v>677</v>
      </c>
      <c r="V107" s="119">
        <f>+V51-U107</f>
        <v>4500</v>
      </c>
      <c r="W107" s="119"/>
      <c r="Y107" s="502" t="s">
        <v>289</v>
      </c>
      <c r="Z107" s="503" t="s">
        <v>289</v>
      </c>
      <c r="AA107" s="504">
        <f>SUMIF($D$2:$D$57,"EXPORTACION",$J$2:$J$103)</f>
        <v>34400</v>
      </c>
      <c r="AB107" s="505">
        <f>SUMIF($D$2:$D$57,"EXPORTACION",$U$2:$U$103)</f>
        <v>0</v>
      </c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 t="s">
        <v>193</v>
      </c>
      <c r="I108" s="257">
        <v>15000</v>
      </c>
      <c r="J108" s="574">
        <f>I108/$I$111</f>
        <v>0.46875</v>
      </c>
      <c r="K108" s="119">
        <f>$W$50*J108</f>
        <v>3996.09375</v>
      </c>
      <c r="L108" s="119">
        <f>I108-K108</f>
        <v>11003.90625</v>
      </c>
      <c r="M108" s="259"/>
      <c r="N108" s="259"/>
      <c r="O108" s="259"/>
      <c r="P108" s="259"/>
      <c r="Q108" s="116"/>
      <c r="R108" s="116"/>
      <c r="S108" s="119"/>
      <c r="T108" s="116"/>
      <c r="U108" s="116"/>
      <c r="V108" s="121">
        <v>7</v>
      </c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 t="s">
        <v>239</v>
      </c>
      <c r="I109" s="257">
        <v>15000</v>
      </c>
      <c r="J109" s="574">
        <f>I109/$I$111</f>
        <v>0.46875</v>
      </c>
      <c r="K109" s="119">
        <f>$W$50*J109</f>
        <v>3996.09375</v>
      </c>
      <c r="L109" s="119">
        <f>I109-K109</f>
        <v>11003.90625</v>
      </c>
      <c r="M109" s="259"/>
      <c r="N109" s="259"/>
      <c r="O109" s="259"/>
      <c r="P109" s="259"/>
      <c r="Q109" s="116"/>
      <c r="R109" s="116"/>
      <c r="S109" s="119"/>
      <c r="T109" s="116"/>
      <c r="U109" s="116"/>
      <c r="V109" s="119">
        <f>+V107*V108</f>
        <v>31500</v>
      </c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 t="s">
        <v>305</v>
      </c>
      <c r="I110" s="260">
        <v>2000</v>
      </c>
      <c r="J110" s="574">
        <f>I110/$I$111</f>
        <v>6.25E-2</v>
      </c>
      <c r="K110" s="119">
        <f>$W$50*J110</f>
        <v>532.8125</v>
      </c>
      <c r="L110" s="119">
        <f>I110-K110</f>
        <v>1467.1875</v>
      </c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573" t="s">
        <v>9</v>
      </c>
      <c r="I111" s="572">
        <f>SUM(I108:I110)</f>
        <v>32000</v>
      </c>
      <c r="J111" s="574">
        <f>SUM(J108:J110)</f>
        <v>1</v>
      </c>
      <c r="K111" s="265">
        <f>SUM(K108:K110)</f>
        <v>8525</v>
      </c>
      <c r="L111" s="265">
        <f>SUM(L108:L110)</f>
        <v>23475</v>
      </c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102300</v>
      </c>
      <c r="J115" s="274">
        <f>SUM(H2:H5)+H14+SUM(H30:H32)+H35+18820</f>
        <v>39020</v>
      </c>
      <c r="K115" s="845">
        <f t="shared" ref="K115:K123" si="28">I115-J115</f>
        <v>63280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2000</v>
      </c>
      <c r="J116" s="275">
        <f>I116+0</f>
        <v>2000</v>
      </c>
      <c r="K116" s="839">
        <f t="shared" si="28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121505</v>
      </c>
      <c r="J117" s="275">
        <f>I117</f>
        <v>121505</v>
      </c>
      <c r="K117" s="839">
        <f t="shared" si="28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28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28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96843</v>
      </c>
      <c r="J120" s="275">
        <f>I120</f>
        <v>96843</v>
      </c>
      <c r="K120" s="839">
        <f t="shared" si="28"/>
        <v>0</v>
      </c>
      <c r="L120" s="840"/>
      <c r="AJ120" s="109" t="s">
        <v>155</v>
      </c>
      <c r="AK120" s="236">
        <v>169523</v>
      </c>
    </row>
    <row r="121" spans="1:40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15109</v>
      </c>
      <c r="J121" s="275">
        <f>I121+0</f>
        <v>15109</v>
      </c>
      <c r="K121" s="839">
        <f t="shared" si="28"/>
        <v>0</v>
      </c>
      <c r="L121" s="840"/>
      <c r="AJ121" s="354" t="s">
        <v>135</v>
      </c>
      <c r="AK121" s="355">
        <v>173236</v>
      </c>
    </row>
    <row r="122" spans="1:40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9699</v>
      </c>
      <c r="J122" s="277">
        <f>SUM(I15:I24)+SUM(I38:I43)+4379</f>
        <v>9699</v>
      </c>
      <c r="K122" s="839">
        <f t="shared" si="28"/>
        <v>0</v>
      </c>
      <c r="L122" s="840"/>
      <c r="M122" s="50"/>
      <c r="N122" s="50"/>
      <c r="O122" s="50"/>
      <c r="P122" s="50"/>
      <c r="AJ122" s="109"/>
      <c r="AK122" s="236"/>
    </row>
    <row r="123" spans="1:40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28"/>
        <v>0</v>
      </c>
      <c r="L123" s="840"/>
      <c r="AJ123" s="354"/>
      <c r="AK123" s="355"/>
    </row>
    <row r="124" spans="1:40" ht="13.5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29">I129-J129</f>
        <v>0</v>
      </c>
      <c r="L129" s="854"/>
    </row>
    <row r="130" spans="1:26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29"/>
        <v>1728</v>
      </c>
      <c r="L130" s="854"/>
    </row>
    <row r="131" spans="1:26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29"/>
        <v>0</v>
      </c>
      <c r="L131" s="854"/>
    </row>
    <row r="132" spans="1:26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29"/>
        <v>6594</v>
      </c>
      <c r="L132" s="854"/>
    </row>
    <row r="133" spans="1:26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29"/>
        <v>0</v>
      </c>
      <c r="L133" s="854"/>
    </row>
    <row r="134" spans="1:26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29"/>
        <v>0</v>
      </c>
      <c r="L134" s="854"/>
    </row>
    <row r="135" spans="1:26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29"/>
        <v>0</v>
      </c>
      <c r="L135" s="854"/>
    </row>
    <row r="136" spans="1:26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29"/>
        <v>0</v>
      </c>
      <c r="L136" s="854"/>
    </row>
    <row r="137" spans="1:26" ht="13.5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29"/>
        <v>262</v>
      </c>
      <c r="L137" s="854"/>
      <c r="X137" s="20"/>
      <c r="Z137" s="20"/>
    </row>
    <row r="138" spans="1:26" ht="15.75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x14ac:dyDescent="0.2">
      <c r="G141" s="864" t="s">
        <v>154</v>
      </c>
      <c r="H141" s="295" t="s">
        <v>28</v>
      </c>
      <c r="I141" s="296">
        <f t="shared" ref="I141:K151" si="30">I115+I128</f>
        <v>102300</v>
      </c>
      <c r="J141" s="296">
        <f t="shared" si="30"/>
        <v>39020</v>
      </c>
      <c r="K141" s="867">
        <f t="shared" si="30"/>
        <v>63280</v>
      </c>
      <c r="L141" s="868"/>
      <c r="X141" s="20"/>
      <c r="Z141" s="20"/>
    </row>
    <row r="142" spans="1:26" x14ac:dyDescent="0.2">
      <c r="C142" s="20"/>
      <c r="F142" s="20"/>
      <c r="G142" s="865"/>
      <c r="H142" s="297" t="s">
        <v>80</v>
      </c>
      <c r="I142" s="298">
        <f t="shared" si="30"/>
        <v>2000</v>
      </c>
      <c r="J142" s="298">
        <f t="shared" si="30"/>
        <v>2000</v>
      </c>
      <c r="K142" s="869">
        <f t="shared" si="30"/>
        <v>0</v>
      </c>
      <c r="L142" s="870"/>
      <c r="X142" s="20"/>
      <c r="Z142" s="20"/>
    </row>
    <row r="143" spans="1:26" x14ac:dyDescent="0.2">
      <c r="G143" s="865"/>
      <c r="H143" s="297" t="s">
        <v>61</v>
      </c>
      <c r="I143" s="298">
        <f t="shared" si="30"/>
        <v>123233</v>
      </c>
      <c r="J143" s="298">
        <f t="shared" si="30"/>
        <v>121505</v>
      </c>
      <c r="K143" s="869">
        <f t="shared" si="30"/>
        <v>1728</v>
      </c>
      <c r="L143" s="870"/>
      <c r="X143" s="20"/>
      <c r="Z143" s="20"/>
    </row>
    <row r="144" spans="1:26" x14ac:dyDescent="0.2">
      <c r="G144" s="865"/>
      <c r="H144" s="297" t="s">
        <v>156</v>
      </c>
      <c r="I144" s="298">
        <f t="shared" si="30"/>
        <v>14000</v>
      </c>
      <c r="J144" s="298">
        <f t="shared" si="30"/>
        <v>14000</v>
      </c>
      <c r="K144" s="869">
        <f t="shared" si="30"/>
        <v>0</v>
      </c>
      <c r="L144" s="870"/>
      <c r="X144" s="20"/>
      <c r="Z144" s="20"/>
    </row>
    <row r="145" spans="3:26" ht="13.5" thickBot="1" x14ac:dyDescent="0.25">
      <c r="G145" s="866"/>
      <c r="H145" s="299" t="s">
        <v>157</v>
      </c>
      <c r="I145" s="300">
        <f t="shared" si="30"/>
        <v>67705</v>
      </c>
      <c r="J145" s="300">
        <f t="shared" si="30"/>
        <v>61111</v>
      </c>
      <c r="K145" s="871">
        <f t="shared" si="30"/>
        <v>6594</v>
      </c>
      <c r="L145" s="872"/>
      <c r="X145" s="20"/>
      <c r="Z145" s="20"/>
    </row>
    <row r="146" spans="3:26" x14ac:dyDescent="0.2">
      <c r="G146" s="879" t="s">
        <v>158</v>
      </c>
      <c r="H146" s="295" t="s">
        <v>28</v>
      </c>
      <c r="I146" s="296">
        <f t="shared" si="30"/>
        <v>96858</v>
      </c>
      <c r="J146" s="296">
        <f t="shared" si="30"/>
        <v>96858</v>
      </c>
      <c r="K146" s="867">
        <f t="shared" si="30"/>
        <v>0</v>
      </c>
      <c r="L146" s="868"/>
      <c r="X146" s="20"/>
      <c r="Z146" s="20"/>
    </row>
    <row r="147" spans="3:26" x14ac:dyDescent="0.2">
      <c r="G147" s="880"/>
      <c r="H147" s="297" t="s">
        <v>80</v>
      </c>
      <c r="I147" s="301">
        <f t="shared" si="30"/>
        <v>15109</v>
      </c>
      <c r="J147" s="301">
        <f t="shared" si="30"/>
        <v>15109</v>
      </c>
      <c r="K147" s="869">
        <f t="shared" si="30"/>
        <v>0</v>
      </c>
      <c r="L147" s="870"/>
      <c r="X147" s="20"/>
      <c r="Z147" s="20"/>
    </row>
    <row r="148" spans="3:26" x14ac:dyDescent="0.2">
      <c r="G148" s="880"/>
      <c r="H148" s="297" t="s">
        <v>61</v>
      </c>
      <c r="I148" s="301">
        <f t="shared" si="30"/>
        <v>9699</v>
      </c>
      <c r="J148" s="301">
        <f t="shared" si="30"/>
        <v>9699</v>
      </c>
      <c r="K148" s="869">
        <f t="shared" si="30"/>
        <v>0</v>
      </c>
      <c r="L148" s="870"/>
      <c r="X148" s="20"/>
      <c r="Z148" s="20"/>
    </row>
    <row r="149" spans="3:26" x14ac:dyDescent="0.2">
      <c r="G149" s="880"/>
      <c r="H149" s="297" t="s">
        <v>156</v>
      </c>
      <c r="I149" s="301">
        <f t="shared" si="30"/>
        <v>38756</v>
      </c>
      <c r="J149" s="301">
        <f t="shared" si="30"/>
        <v>38756</v>
      </c>
      <c r="K149" s="869">
        <f t="shared" si="30"/>
        <v>0</v>
      </c>
      <c r="L149" s="870"/>
      <c r="X149" s="20"/>
      <c r="Z149" s="20"/>
    </row>
    <row r="150" spans="3:26" ht="13.5" thickBot="1" x14ac:dyDescent="0.25">
      <c r="G150" s="881"/>
      <c r="H150" s="299" t="s">
        <v>157</v>
      </c>
      <c r="I150" s="302">
        <f t="shared" si="30"/>
        <v>1700</v>
      </c>
      <c r="J150" s="302">
        <f t="shared" si="30"/>
        <v>1438</v>
      </c>
      <c r="K150" s="871">
        <f t="shared" si="30"/>
        <v>262</v>
      </c>
      <c r="L150" s="872"/>
      <c r="X150" s="20"/>
      <c r="Z150" s="20"/>
    </row>
    <row r="151" spans="3:26" ht="15.75" thickBot="1" x14ac:dyDescent="0.25">
      <c r="G151" s="847" t="s">
        <v>162</v>
      </c>
      <c r="H151" s="873"/>
      <c r="I151" s="303">
        <f t="shared" si="30"/>
        <v>300000</v>
      </c>
      <c r="J151" s="303">
        <f t="shared" si="30"/>
        <v>108136</v>
      </c>
      <c r="K151" s="874">
        <f>I151-J151</f>
        <v>191864</v>
      </c>
      <c r="L151" s="873"/>
      <c r="X151" s="20"/>
      <c r="Z151" s="20"/>
    </row>
    <row r="152" spans="3:26" ht="15.75" thickBot="1" x14ac:dyDescent="0.3">
      <c r="G152" s="875" t="s">
        <v>163</v>
      </c>
      <c r="H152" s="876"/>
      <c r="I152" s="304">
        <f>SUM(I141:I150)</f>
        <v>471360</v>
      </c>
      <c r="J152" s="304">
        <f>SUM(J141:J150)</f>
        <v>399496</v>
      </c>
      <c r="K152" s="877">
        <f>SUM(K141:L150)</f>
        <v>71864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J156" s="307">
        <v>28391</v>
      </c>
      <c r="Q156" s="20">
        <v>8815</v>
      </c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H158" s="307" t="s">
        <v>249</v>
      </c>
      <c r="I158" s="307">
        <v>20500</v>
      </c>
      <c r="J158" s="18">
        <f>I158/I162</f>
        <v>0.46345488662310946</v>
      </c>
      <c r="L158" s="80">
        <f>J156*$J$158</f>
        <v>13157.9476861167</v>
      </c>
      <c r="N158" s="20" t="s">
        <v>256</v>
      </c>
      <c r="P158" s="20">
        <v>360</v>
      </c>
      <c r="Q158" s="20">
        <v>4733</v>
      </c>
      <c r="R158" s="18">
        <f>Q158/Q162</f>
        <v>0.34464428748270587</v>
      </c>
      <c r="S158" s="18"/>
      <c r="T158" s="80">
        <f>Q156*R158</f>
        <v>3038.0393941600523</v>
      </c>
      <c r="X158" s="20"/>
      <c r="Z158" s="20"/>
    </row>
    <row r="159" spans="3:26" x14ac:dyDescent="0.2">
      <c r="C159" s="20"/>
      <c r="F159" s="20"/>
      <c r="H159" s="307" t="s">
        <v>250</v>
      </c>
      <c r="I159" s="307">
        <v>13733</v>
      </c>
      <c r="J159" s="18">
        <f>I159/I162</f>
        <v>0.31046955892659328</v>
      </c>
      <c r="L159" s="80">
        <f>J156*$J$159</f>
        <v>8814.541247484909</v>
      </c>
      <c r="P159" s="20">
        <v>361</v>
      </c>
      <c r="Q159" s="20">
        <v>1500</v>
      </c>
      <c r="R159" s="18">
        <f>Q159/Q162</f>
        <v>0.10922595208621569</v>
      </c>
      <c r="S159" s="18"/>
      <c r="T159" s="80">
        <f>Q156*R159</f>
        <v>962.82676763999132</v>
      </c>
      <c r="X159" s="20"/>
      <c r="Z159" s="20"/>
    </row>
    <row r="160" spans="3:26" x14ac:dyDescent="0.2">
      <c r="C160" s="20"/>
      <c r="F160" s="20"/>
      <c r="H160" s="307" t="s">
        <v>251</v>
      </c>
      <c r="I160" s="307">
        <v>10000</v>
      </c>
      <c r="J160" s="18">
        <f>I160/I162</f>
        <v>0.22607555445029728</v>
      </c>
      <c r="L160" s="80">
        <f>J156*$J$160</f>
        <v>6418.5110663983905</v>
      </c>
      <c r="P160" s="20">
        <v>363</v>
      </c>
      <c r="Q160" s="20">
        <v>7500</v>
      </c>
      <c r="R160" s="18">
        <f>Q160/Q162</f>
        <v>0.54612976043107841</v>
      </c>
      <c r="S160" s="18"/>
      <c r="T160" s="80">
        <f>Q156*R160</f>
        <v>4814.1338381999558</v>
      </c>
      <c r="X160" s="20"/>
      <c r="Z160" s="20"/>
    </row>
    <row r="161" spans="3:26" x14ac:dyDescent="0.2">
      <c r="C161" s="20"/>
      <c r="F161" s="20"/>
      <c r="J161" s="20"/>
      <c r="X161" s="20"/>
      <c r="Z161" s="20"/>
    </row>
    <row r="162" spans="3:26" x14ac:dyDescent="0.2">
      <c r="C162" s="20"/>
      <c r="F162" s="20"/>
      <c r="I162" s="307">
        <f>SUM(I158:I160)</f>
        <v>44233</v>
      </c>
      <c r="J162" s="20"/>
      <c r="Q162" s="20">
        <f>SUM(Q158:Q160)</f>
        <v>13733</v>
      </c>
      <c r="X162" s="20"/>
      <c r="Z162" s="20"/>
    </row>
    <row r="163" spans="3:26" x14ac:dyDescent="0.2">
      <c r="C163" s="20"/>
      <c r="F163" s="20"/>
      <c r="J163" s="20"/>
      <c r="X163" s="20"/>
      <c r="Z163" s="20"/>
    </row>
    <row r="164" spans="3:26" x14ac:dyDescent="0.2">
      <c r="C164" s="20"/>
      <c r="F164" s="20"/>
      <c r="J164" s="20"/>
      <c r="X164" s="20"/>
      <c r="Z164" s="20"/>
    </row>
    <row r="165" spans="3:26" x14ac:dyDescent="0.2">
      <c r="C165" s="20"/>
      <c r="F165" s="20"/>
      <c r="H165" s="458"/>
      <c r="I165" s="459" t="s">
        <v>252</v>
      </c>
      <c r="J165" s="78">
        <v>14260</v>
      </c>
      <c r="K165" s="78"/>
      <c r="P165" s="20" t="s">
        <v>254</v>
      </c>
      <c r="Q165" s="20">
        <v>6506</v>
      </c>
      <c r="X165" s="20"/>
      <c r="Z165" s="20"/>
    </row>
    <row r="166" spans="3:26" x14ac:dyDescent="0.2">
      <c r="C166" s="20"/>
      <c r="F166" s="20"/>
      <c r="H166" s="458" t="s">
        <v>253</v>
      </c>
      <c r="J166" s="20"/>
      <c r="N166" s="20" t="s">
        <v>255</v>
      </c>
      <c r="X166" s="20"/>
      <c r="Z166" s="20"/>
    </row>
    <row r="167" spans="3:26" x14ac:dyDescent="0.2">
      <c r="C167" s="20"/>
      <c r="F167" s="20"/>
      <c r="H167" s="458">
        <v>355</v>
      </c>
      <c r="I167" s="307">
        <v>5205</v>
      </c>
      <c r="J167" s="18">
        <f>I167/I170</f>
        <v>0.22430510665804784</v>
      </c>
      <c r="K167" s="80">
        <f>J165*J167</f>
        <v>3198.5908209437621</v>
      </c>
      <c r="N167" s="20">
        <v>364</v>
      </c>
      <c r="P167" s="20">
        <v>3600</v>
      </c>
      <c r="Q167" s="461">
        <f>P167/P170</f>
        <v>0.34003967129498441</v>
      </c>
      <c r="R167" s="80">
        <f>Q165*Q167</f>
        <v>2212.2981014451684</v>
      </c>
      <c r="X167" s="20"/>
      <c r="Z167" s="20"/>
    </row>
    <row r="168" spans="3:26" x14ac:dyDescent="0.2">
      <c r="C168" s="20"/>
      <c r="F168" s="20"/>
      <c r="H168" s="458">
        <v>356</v>
      </c>
      <c r="I168" s="307">
        <v>18000</v>
      </c>
      <c r="J168" s="18">
        <f>I168/I170</f>
        <v>0.77569489334195219</v>
      </c>
      <c r="K168" s="80">
        <f>J165*J168</f>
        <v>11061.409179056238</v>
      </c>
      <c r="N168" s="20">
        <v>365</v>
      </c>
      <c r="P168" s="20">
        <v>6000</v>
      </c>
      <c r="Q168" s="461">
        <f>P168/P170</f>
        <v>0.56673278549164074</v>
      </c>
      <c r="R168" s="80">
        <f>Q165*Q168</f>
        <v>3687.1635024086145</v>
      </c>
      <c r="X168" s="20"/>
      <c r="Z168" s="20"/>
    </row>
    <row r="169" spans="3:26" x14ac:dyDescent="0.2">
      <c r="C169" s="20"/>
      <c r="F169" s="20"/>
      <c r="H169" s="460"/>
      <c r="J169" s="20"/>
      <c r="N169" s="20" t="s">
        <v>257</v>
      </c>
      <c r="P169" s="20">
        <v>987</v>
      </c>
      <c r="Q169" s="461">
        <f>P169/P170</f>
        <v>9.3227543213374897E-2</v>
      </c>
      <c r="R169" s="80">
        <f>Q165*Q169</f>
        <v>606.53839614621711</v>
      </c>
      <c r="X169" s="20"/>
      <c r="Z169" s="20"/>
    </row>
    <row r="170" spans="3:26" x14ac:dyDescent="0.2">
      <c r="C170" s="20"/>
      <c r="F170" s="20"/>
      <c r="H170" s="458"/>
      <c r="I170" s="458">
        <f>SUM(I167:I168)</f>
        <v>23205</v>
      </c>
      <c r="J170" s="78"/>
      <c r="K170" s="78"/>
      <c r="P170" s="20">
        <f>SUM(P167:P169)</f>
        <v>10587</v>
      </c>
      <c r="X170" s="20"/>
      <c r="Z170" s="20"/>
    </row>
    <row r="171" spans="3:26" ht="15" x14ac:dyDescent="0.25">
      <c r="C171" s="20"/>
      <c r="F171" s="20"/>
      <c r="G171" s="305"/>
      <c r="H171" s="306"/>
      <c r="J171" s="20"/>
      <c r="X171" s="20"/>
      <c r="Z171" s="20"/>
    </row>
    <row r="172" spans="3:26" x14ac:dyDescent="0.2">
      <c r="C172" s="20"/>
      <c r="F172" s="20"/>
      <c r="J172" s="20"/>
      <c r="X172" s="20"/>
      <c r="Z172" s="20"/>
    </row>
    <row r="173" spans="3:26" x14ac:dyDescent="0.2">
      <c r="C173" s="20"/>
      <c r="F173" s="20"/>
      <c r="J173" s="20"/>
      <c r="X173" s="20"/>
      <c r="Z173" s="20"/>
    </row>
  </sheetData>
  <autoFilter ref="A1:AN152">
    <filterColumn colId="27" showButton="0"/>
    <filterColumn colId="28" showButton="0"/>
    <filterColumn colId="29" showButton="0"/>
  </autoFilter>
  <mergeCells count="87"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25:H125"/>
    <mergeCell ref="K125:L125"/>
    <mergeCell ref="G126:H126"/>
    <mergeCell ref="I126:L126"/>
    <mergeCell ref="K127:L127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A113:A114"/>
    <mergeCell ref="B113:B114"/>
    <mergeCell ref="G113:H113"/>
    <mergeCell ref="I113:L113"/>
    <mergeCell ref="K114:L114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79" priority="3" operator="lessThan">
      <formula>$AA$78</formula>
    </cfRule>
    <cfRule type="cellIs" dxfId="178" priority="5" operator="greaterThan">
      <formula>$AE$78</formula>
    </cfRule>
  </conditionalFormatting>
  <conditionalFormatting sqref="AA79">
    <cfRule type="cellIs" dxfId="177" priority="4" operator="greaterThan">
      <formula>$AE$79</formula>
    </cfRule>
  </conditionalFormatting>
  <conditionalFormatting sqref="AA80">
    <cfRule type="cellIs" dxfId="176" priority="2" operator="greaterThan">
      <formula>$AE$79</formula>
    </cfRule>
  </conditionalFormatting>
  <conditionalFormatting sqref="AU4:AU23">
    <cfRule type="cellIs" dxfId="175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002060"/>
  </sheetPr>
  <dimension ref="A1:AU173"/>
  <sheetViews>
    <sheetView topLeftCell="S1" zoomScale="90" zoomScaleNormal="90" workbookViewId="0">
      <selection activeCell="AE18" sqref="AE18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hidden="1" customWidth="1"/>
    <col min="11" max="12" width="14.7109375" style="20" hidden="1" customWidth="1"/>
    <col min="13" max="13" width="7.28515625" style="20" hidden="1" customWidth="1"/>
    <col min="14" max="14" width="13.5703125" style="20" hidden="1" customWidth="1"/>
    <col min="15" max="15" width="14.7109375" style="20" hidden="1" customWidth="1"/>
    <col min="16" max="16" width="8.140625" style="20" hidden="1" customWidth="1"/>
    <col min="17" max="18" width="14.7109375" style="20" hidden="1" customWidth="1"/>
    <col min="19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58">
        <v>3000</v>
      </c>
      <c r="I2" s="26">
        <v>0</v>
      </c>
      <c r="J2" s="26"/>
      <c r="K2" s="27">
        <f>SUM(H2:J2)</f>
        <v>3000</v>
      </c>
      <c r="L2" s="28">
        <f>AA4-K2</f>
        <v>134865</v>
      </c>
      <c r="M2" s="29"/>
      <c r="N2" s="798">
        <f>SUM(K2:K26)</f>
        <v>225149</v>
      </c>
      <c r="O2" s="30">
        <f>+K2/$N$2</f>
        <v>1.3324509547011091E-2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134865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582" t="s">
        <v>31</v>
      </c>
      <c r="AE2" s="582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58">
        <v>1100</v>
      </c>
      <c r="J3" s="26"/>
      <c r="K3" s="27">
        <f t="shared" ref="K3:K73" si="0">SUM(H3:J3)</f>
        <v>1100</v>
      </c>
      <c r="L3" s="28">
        <f t="shared" ref="L3:L66" si="1">+L2-K3</f>
        <v>133765</v>
      </c>
      <c r="M3" s="29"/>
      <c r="N3" s="799"/>
      <c r="O3" s="30">
        <f t="shared" ref="O3:O29" si="2">+K3/$N$2</f>
        <v>4.8856535005707335E-3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133765</v>
      </c>
      <c r="X3" s="32">
        <f t="shared" ref="X3:X56" si="9">W3-L3</f>
        <v>0</v>
      </c>
      <c r="Y3" s="37" t="s">
        <v>34</v>
      </c>
      <c r="Z3" s="38">
        <f>ROUND((Z13*57%),0)</f>
        <v>183259</v>
      </c>
      <c r="AA3" s="39">
        <f>ROUND((+Z14*0.57),0)</f>
        <v>182751</v>
      </c>
      <c r="AB3" s="454">
        <v>64295.041666666664</v>
      </c>
      <c r="AC3" s="455">
        <v>114427.66666666667</v>
      </c>
      <c r="AD3" s="40">
        <v>0</v>
      </c>
      <c r="AE3" s="41">
        <f>SUM(AB3:AD3)</f>
        <v>178722.70833333334</v>
      </c>
      <c r="AF3" s="41">
        <f>AA3-AE3</f>
        <v>4028.291666666657</v>
      </c>
      <c r="AG3" s="42">
        <f>AA3-AB3-AC3-AD3</f>
        <v>4028.2916666666715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58">
        <v>22400</v>
      </c>
      <c r="J4" s="26"/>
      <c r="K4" s="27">
        <f t="shared" si="0"/>
        <v>22400</v>
      </c>
      <c r="L4" s="28">
        <f t="shared" si="1"/>
        <v>111365</v>
      </c>
      <c r="M4" s="29"/>
      <c r="N4" s="799"/>
      <c r="O4" s="30">
        <f t="shared" si="2"/>
        <v>9.9489671284349476E-2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111365</v>
      </c>
      <c r="X4" s="32">
        <f t="shared" si="9"/>
        <v>0</v>
      </c>
      <c r="Y4" s="37" t="s">
        <v>38</v>
      </c>
      <c r="Z4" s="38">
        <f>ROUND((Z13*43%),0)</f>
        <v>138248</v>
      </c>
      <c r="AA4" s="39">
        <f>ROUND((+Z14*0.43),0)</f>
        <v>137865</v>
      </c>
      <c r="AB4" s="43">
        <f>T105</f>
        <v>37429</v>
      </c>
      <c r="AC4" s="43">
        <f>S105</f>
        <v>100436</v>
      </c>
      <c r="AD4" s="40">
        <f>U105</f>
        <v>0</v>
      </c>
      <c r="AE4" s="41">
        <f>SUM(AB4:AD4)</f>
        <v>137865</v>
      </c>
      <c r="AF4" s="41">
        <f>AA4-AE4</f>
        <v>0</v>
      </c>
      <c r="AG4" s="42">
        <f>AA4-AB4-AC4-AD4</f>
        <v>0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58">
        <v>1200</v>
      </c>
      <c r="J5" s="26"/>
      <c r="K5" s="27">
        <f t="shared" si="0"/>
        <v>1200</v>
      </c>
      <c r="L5" s="28">
        <f t="shared" si="1"/>
        <v>110165</v>
      </c>
      <c r="M5" s="29"/>
      <c r="N5" s="799"/>
      <c r="O5" s="30">
        <f t="shared" si="2"/>
        <v>5.3298038188044359E-3</v>
      </c>
      <c r="P5" s="802"/>
      <c r="Q5" s="31">
        <f t="shared" si="3"/>
        <v>0</v>
      </c>
      <c r="R5" s="28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110165</v>
      </c>
      <c r="X5" s="32">
        <f t="shared" si="9"/>
        <v>0</v>
      </c>
      <c r="Y5" s="44" t="s">
        <v>41</v>
      </c>
      <c r="Z5" s="38">
        <f>SUM(Z3:Z4)</f>
        <v>321507</v>
      </c>
      <c r="AA5" s="45">
        <f>SUM(AA3:AA4)</f>
        <v>320616</v>
      </c>
      <c r="AB5" s="46">
        <f>SUM(AB3:AB4)</f>
        <v>101724.04166666666</v>
      </c>
      <c r="AC5" s="41">
        <f>SUM(AC3:AC4)</f>
        <v>214863.66666666669</v>
      </c>
      <c r="AD5" s="40">
        <f>SUM(AD3:AD4)</f>
        <v>0</v>
      </c>
      <c r="AE5" s="41">
        <f>SUM(AB5:AD5)</f>
        <v>316587.70833333337</v>
      </c>
      <c r="AF5" s="47">
        <f>SUM(AF3:AF4)</f>
        <v>4028.291666666657</v>
      </c>
      <c r="AG5" s="47">
        <f>SUM(AG3:AG4)</f>
        <v>4028.2916666666715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58">
        <v>12000</v>
      </c>
      <c r="I6" s="26"/>
      <c r="J6" s="26"/>
      <c r="K6" s="27">
        <f t="shared" si="0"/>
        <v>12000</v>
      </c>
      <c r="L6" s="28">
        <f t="shared" si="1"/>
        <v>98165</v>
      </c>
      <c r="M6" s="29"/>
      <c r="N6" s="799"/>
      <c r="O6" s="30">
        <f t="shared" si="2"/>
        <v>5.3298038188044364E-2</v>
      </c>
      <c r="P6" s="802"/>
      <c r="Q6" s="31">
        <f t="shared" si="3"/>
        <v>0</v>
      </c>
      <c r="R6" s="2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98165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58">
        <f>1796+12370</f>
        <v>14166</v>
      </c>
      <c r="I7" s="558">
        <f>800+2430+604</f>
        <v>3834</v>
      </c>
      <c r="J7" s="26"/>
      <c r="K7" s="27">
        <f t="shared" si="0"/>
        <v>18000</v>
      </c>
      <c r="L7" s="28">
        <f t="shared" si="1"/>
        <v>80165</v>
      </c>
      <c r="M7" s="29"/>
      <c r="N7" s="799"/>
      <c r="O7" s="30">
        <f t="shared" si="2"/>
        <v>7.9947057282066539E-2</v>
      </c>
      <c r="P7" s="802"/>
      <c r="Q7" s="31">
        <f t="shared" si="3"/>
        <v>0</v>
      </c>
      <c r="R7" s="28"/>
      <c r="S7" s="28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80165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58">
        <v>2500</v>
      </c>
      <c r="I8" s="26"/>
      <c r="J8" s="26"/>
      <c r="K8" s="27">
        <f t="shared" si="0"/>
        <v>2500</v>
      </c>
      <c r="L8" s="28">
        <f t="shared" si="1"/>
        <v>77665</v>
      </c>
      <c r="M8" s="29"/>
      <c r="N8" s="799"/>
      <c r="O8" s="30">
        <f t="shared" si="2"/>
        <v>1.1103757955842576E-2</v>
      </c>
      <c r="P8" s="802"/>
      <c r="Q8" s="31">
        <f t="shared" si="3"/>
        <v>0</v>
      </c>
      <c r="R8" s="28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77665</v>
      </c>
      <c r="X8" s="32">
        <f t="shared" si="9"/>
        <v>0</v>
      </c>
      <c r="Y8" s="14" t="s">
        <v>47</v>
      </c>
      <c r="Z8" s="54">
        <v>41919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58">
        <v>1148</v>
      </c>
      <c r="I9" s="518">
        <v>1052</v>
      </c>
      <c r="J9" s="26"/>
      <c r="K9" s="27">
        <f t="shared" si="0"/>
        <v>2200</v>
      </c>
      <c r="L9" s="28">
        <f t="shared" si="1"/>
        <v>75465</v>
      </c>
      <c r="M9" s="29"/>
      <c r="N9" s="799"/>
      <c r="O9" s="30">
        <f t="shared" si="2"/>
        <v>9.771307001141467E-3</v>
      </c>
      <c r="P9" s="802"/>
      <c r="Q9" s="31">
        <f t="shared" si="3"/>
        <v>0</v>
      </c>
      <c r="R9" s="28"/>
      <c r="S9" s="28">
        <f t="shared" si="4"/>
        <v>1148</v>
      </c>
      <c r="T9" s="28">
        <f t="shared" si="5"/>
        <v>1052</v>
      </c>
      <c r="U9" s="28">
        <f t="shared" si="6"/>
        <v>0</v>
      </c>
      <c r="V9" s="28">
        <f t="shared" si="7"/>
        <v>2200</v>
      </c>
      <c r="W9" s="31">
        <f t="shared" si="8"/>
        <v>75465</v>
      </c>
      <c r="X9" s="32">
        <f t="shared" si="9"/>
        <v>0</v>
      </c>
      <c r="Y9" s="14" t="s">
        <v>189</v>
      </c>
      <c r="Z9" s="58">
        <v>381675</v>
      </c>
      <c r="AA9" s="59">
        <f>Z9*14.65/14.73</f>
        <v>379602.08757637476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-170000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58">
        <v>20000</v>
      </c>
      <c r="I10" s="558"/>
      <c r="J10" s="26"/>
      <c r="K10" s="27">
        <f t="shared" si="0"/>
        <v>20000</v>
      </c>
      <c r="L10" s="28">
        <f t="shared" si="1"/>
        <v>55465</v>
      </c>
      <c r="M10" s="29"/>
      <c r="N10" s="799"/>
      <c r="O10" s="30">
        <f t="shared" si="2"/>
        <v>8.8830063646740606E-2</v>
      </c>
      <c r="P10" s="802"/>
      <c r="Q10" s="31">
        <f t="shared" si="3"/>
        <v>0</v>
      </c>
      <c r="R10" s="28">
        <v>-5656</v>
      </c>
      <c r="S10" s="28">
        <f t="shared" si="4"/>
        <v>14344</v>
      </c>
      <c r="T10" s="28">
        <f t="shared" si="5"/>
        <v>0</v>
      </c>
      <c r="U10" s="28">
        <f t="shared" si="6"/>
        <v>0</v>
      </c>
      <c r="V10" s="28">
        <f t="shared" si="7"/>
        <v>14344</v>
      </c>
      <c r="W10" s="31">
        <f t="shared" si="8"/>
        <v>61121</v>
      </c>
      <c r="X10" s="32">
        <f t="shared" si="9"/>
        <v>5656</v>
      </c>
      <c r="Y10" s="14" t="s">
        <v>191</v>
      </c>
      <c r="Z10" s="58">
        <f>ROUND((Z9*Z30),0)</f>
        <v>380616</v>
      </c>
      <c r="AA10" s="59">
        <f>Z10*14.65/14.73</f>
        <v>378548.83910386969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58">
        <v>18000</v>
      </c>
      <c r="I11" s="26"/>
      <c r="J11" s="26"/>
      <c r="K11" s="27">
        <f t="shared" si="0"/>
        <v>18000</v>
      </c>
      <c r="L11" s="28">
        <f t="shared" si="1"/>
        <v>37465</v>
      </c>
      <c r="M11" s="29"/>
      <c r="N11" s="799"/>
      <c r="O11" s="30">
        <f t="shared" si="2"/>
        <v>7.9947057282066539E-2</v>
      </c>
      <c r="P11" s="802"/>
      <c r="Q11" s="31">
        <f t="shared" si="3"/>
        <v>0</v>
      </c>
      <c r="R11" s="28">
        <v>-5091</v>
      </c>
      <c r="S11" s="28">
        <f t="shared" si="4"/>
        <v>12909</v>
      </c>
      <c r="T11" s="28">
        <f t="shared" si="5"/>
        <v>0</v>
      </c>
      <c r="U11" s="28">
        <f t="shared" si="6"/>
        <v>0</v>
      </c>
      <c r="V11" s="28">
        <f t="shared" si="7"/>
        <v>12909</v>
      </c>
      <c r="W11" s="31">
        <f t="shared" si="8"/>
        <v>48212</v>
      </c>
      <c r="X11" s="32">
        <f t="shared" si="9"/>
        <v>10747</v>
      </c>
      <c r="Y11" s="14" t="s">
        <v>59</v>
      </c>
      <c r="Z11" s="58">
        <v>45000</v>
      </c>
      <c r="AA11" s="59">
        <f>ROUND(Z11/Z27,0)*14.65/14.73</f>
        <v>44880.916496945014</v>
      </c>
      <c r="AB11" s="35"/>
      <c r="AC11" s="65"/>
      <c r="AD11" s="64"/>
      <c r="AE11" s="60">
        <f>AE9*57%</f>
        <v>96899.999999999985</v>
      </c>
      <c r="AF11" s="60">
        <f>AD3-AE11</f>
        <v>-96899.999999999985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58">
        <v>3600</v>
      </c>
      <c r="I12" s="558"/>
      <c r="J12" s="26"/>
      <c r="K12" s="27">
        <f t="shared" si="0"/>
        <v>3600</v>
      </c>
      <c r="L12" s="28">
        <f t="shared" si="1"/>
        <v>33865</v>
      </c>
      <c r="M12" s="29"/>
      <c r="N12" s="799"/>
      <c r="O12" s="30">
        <f t="shared" si="2"/>
        <v>1.5989411456413308E-2</v>
      </c>
      <c r="P12" s="802"/>
      <c r="Q12" s="31">
        <f t="shared" si="3"/>
        <v>0</v>
      </c>
      <c r="R12" s="28">
        <v>-1018</v>
      </c>
      <c r="S12" s="28">
        <f t="shared" si="4"/>
        <v>2582</v>
      </c>
      <c r="T12" s="28">
        <f t="shared" si="5"/>
        <v>0</v>
      </c>
      <c r="U12" s="28">
        <f t="shared" si="6"/>
        <v>0</v>
      </c>
      <c r="V12" s="28">
        <f t="shared" si="7"/>
        <v>2582</v>
      </c>
      <c r="W12" s="31">
        <f t="shared" si="8"/>
        <v>45630</v>
      </c>
      <c r="X12" s="32">
        <f t="shared" si="9"/>
        <v>11765</v>
      </c>
      <c r="Y12" s="14" t="s">
        <v>64</v>
      </c>
      <c r="Z12" s="58">
        <v>15000</v>
      </c>
      <c r="AA12" s="59">
        <f>ROUND(Z12/Z28,0)*14.65/14.73</f>
        <v>14957.321792260693</v>
      </c>
      <c r="AB12" s="57">
        <f>Z12*57%</f>
        <v>8550</v>
      </c>
      <c r="AC12" s="65">
        <f>Z12*43%</f>
        <v>6450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58">
        <v>6000</v>
      </c>
      <c r="I13" s="558"/>
      <c r="J13" s="26"/>
      <c r="K13" s="27">
        <f t="shared" si="0"/>
        <v>6000</v>
      </c>
      <c r="L13" s="28">
        <f t="shared" si="1"/>
        <v>27865</v>
      </c>
      <c r="M13" s="29"/>
      <c r="N13" s="799"/>
      <c r="O13" s="30">
        <f t="shared" si="2"/>
        <v>2.6649019094022182E-2</v>
      </c>
      <c r="P13" s="802"/>
      <c r="Q13" s="31">
        <f t="shared" si="3"/>
        <v>0</v>
      </c>
      <c r="R13" s="28">
        <v>-1697</v>
      </c>
      <c r="S13" s="28">
        <f t="shared" si="4"/>
        <v>4303</v>
      </c>
      <c r="T13" s="28">
        <f t="shared" si="5"/>
        <v>0</v>
      </c>
      <c r="U13" s="28">
        <f t="shared" si="6"/>
        <v>0</v>
      </c>
      <c r="V13" s="28">
        <f t="shared" si="7"/>
        <v>4303</v>
      </c>
      <c r="W13" s="31">
        <f t="shared" si="8"/>
        <v>41327</v>
      </c>
      <c r="X13" s="32">
        <f t="shared" si="9"/>
        <v>13462</v>
      </c>
      <c r="Y13" s="14" t="s">
        <v>67</v>
      </c>
      <c r="Z13" s="67">
        <f>Z14/Z30</f>
        <v>321507.83511288645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58">
        <v>16049</v>
      </c>
      <c r="I14" s="26">
        <v>0</v>
      </c>
      <c r="J14" s="26"/>
      <c r="K14" s="27">
        <f t="shared" si="0"/>
        <v>16049</v>
      </c>
      <c r="L14" s="28">
        <f t="shared" si="1"/>
        <v>11816</v>
      </c>
      <c r="M14" s="29"/>
      <c r="N14" s="799"/>
      <c r="O14" s="30">
        <f t="shared" si="2"/>
        <v>7.1281684573326995E-2</v>
      </c>
      <c r="P14" s="802"/>
      <c r="Q14" s="31">
        <f t="shared" si="3"/>
        <v>0</v>
      </c>
      <c r="R14" s="28">
        <v>-16049</v>
      </c>
      <c r="S14" s="28">
        <f t="shared" si="4"/>
        <v>0</v>
      </c>
      <c r="T14" s="28">
        <f t="shared" si="5"/>
        <v>0</v>
      </c>
      <c r="U14" s="28">
        <f t="shared" si="6"/>
        <v>0</v>
      </c>
      <c r="V14" s="28">
        <f t="shared" si="7"/>
        <v>0</v>
      </c>
      <c r="W14" s="31">
        <f t="shared" si="8"/>
        <v>41327</v>
      </c>
      <c r="X14" s="32">
        <f t="shared" si="9"/>
        <v>29511</v>
      </c>
      <c r="Y14" s="14" t="s">
        <v>70</v>
      </c>
      <c r="Z14" s="67">
        <f>+Z10-(Z11+Z12)</f>
        <v>320616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58">
        <v>17200</v>
      </c>
      <c r="I15" s="26"/>
      <c r="J15" s="26"/>
      <c r="K15" s="27">
        <f t="shared" si="0"/>
        <v>17200</v>
      </c>
      <c r="L15" s="28">
        <f t="shared" si="1"/>
        <v>-5384</v>
      </c>
      <c r="M15" s="29"/>
      <c r="N15" s="799"/>
      <c r="O15" s="30">
        <f t="shared" si="2"/>
        <v>7.639385473619692E-2</v>
      </c>
      <c r="P15" s="802"/>
      <c r="Q15" s="31">
        <f t="shared" si="3"/>
        <v>0</v>
      </c>
      <c r="R15" s="28">
        <v>-17200</v>
      </c>
      <c r="S15" s="28">
        <f t="shared" si="4"/>
        <v>0</v>
      </c>
      <c r="T15" s="28">
        <f t="shared" si="5"/>
        <v>0</v>
      </c>
      <c r="U15" s="28">
        <f t="shared" si="6"/>
        <v>0</v>
      </c>
      <c r="V15" s="28">
        <f t="shared" si="7"/>
        <v>0</v>
      </c>
      <c r="W15" s="31">
        <f t="shared" si="8"/>
        <v>41327</v>
      </c>
      <c r="X15" s="32">
        <f t="shared" si="9"/>
        <v>46711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58">
        <v>20500</v>
      </c>
      <c r="I16" s="26"/>
      <c r="J16" s="26"/>
      <c r="K16" s="27">
        <f t="shared" si="0"/>
        <v>20500</v>
      </c>
      <c r="L16" s="28">
        <f t="shared" si="1"/>
        <v>-25884</v>
      </c>
      <c r="M16" s="29"/>
      <c r="N16" s="799"/>
      <c r="O16" s="30">
        <f t="shared" si="2"/>
        <v>9.1050815237909116E-2</v>
      </c>
      <c r="P16" s="802"/>
      <c r="Q16" s="31">
        <v>0</v>
      </c>
      <c r="R16" s="28">
        <v>-5798</v>
      </c>
      <c r="S16" s="28">
        <f t="shared" si="4"/>
        <v>14702</v>
      </c>
      <c r="T16" s="28">
        <f t="shared" si="5"/>
        <v>0</v>
      </c>
      <c r="U16" s="28">
        <f t="shared" si="6"/>
        <v>0</v>
      </c>
      <c r="V16" s="28">
        <f t="shared" si="7"/>
        <v>14702</v>
      </c>
      <c r="W16" s="31">
        <f t="shared" si="8"/>
        <v>26625</v>
      </c>
      <c r="X16" s="32">
        <f t="shared" si="9"/>
        <v>52509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58">
        <v>2688</v>
      </c>
      <c r="I17" s="558">
        <v>3000</v>
      </c>
      <c r="J17" s="26"/>
      <c r="K17" s="27">
        <f t="shared" si="0"/>
        <v>5688</v>
      </c>
      <c r="L17" s="28">
        <f t="shared" si="1"/>
        <v>-31572</v>
      </c>
      <c r="M17" s="29"/>
      <c r="N17" s="799"/>
      <c r="O17" s="30">
        <f t="shared" si="2"/>
        <v>2.5263270101133026E-2</v>
      </c>
      <c r="P17" s="802"/>
      <c r="Q17" s="31">
        <f t="shared" si="3"/>
        <v>0</v>
      </c>
      <c r="R17" s="28">
        <v>0</v>
      </c>
      <c r="S17" s="28">
        <f>IF(H17&lt;&gt;0,+H17+Q17+R17,0)-760</f>
        <v>1928</v>
      </c>
      <c r="T17" s="28">
        <f>IF(I17&lt;&gt;0,+I17+Q17+R17,0)-848</f>
        <v>2152</v>
      </c>
      <c r="U17" s="28">
        <f t="shared" si="6"/>
        <v>0</v>
      </c>
      <c r="V17" s="28">
        <f t="shared" si="7"/>
        <v>4080</v>
      </c>
      <c r="W17" s="31">
        <f t="shared" si="8"/>
        <v>22545</v>
      </c>
      <c r="X17" s="32">
        <f t="shared" si="9"/>
        <v>54117</v>
      </c>
      <c r="AA17" s="35"/>
      <c r="AB17" s="790">
        <f>+Z61-Z24-((Z12+Z11)*0.43)</f>
        <v>-25800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58">
        <v>312</v>
      </c>
      <c r="J18" s="26"/>
      <c r="K18" s="27">
        <f t="shared" si="0"/>
        <v>312</v>
      </c>
      <c r="L18" s="28">
        <f t="shared" si="1"/>
        <v>-31884</v>
      </c>
      <c r="M18" s="29"/>
      <c r="N18" s="799"/>
      <c r="O18" s="30"/>
      <c r="P18" s="802"/>
      <c r="Q18" s="31">
        <f t="shared" si="3"/>
        <v>0</v>
      </c>
      <c r="R18" s="28">
        <v>0</v>
      </c>
      <c r="S18" s="28">
        <f t="shared" si="4"/>
        <v>0</v>
      </c>
      <c r="T18" s="28">
        <f t="shared" si="5"/>
        <v>312</v>
      </c>
      <c r="U18" s="28">
        <f t="shared" si="6"/>
        <v>0</v>
      </c>
      <c r="V18" s="28">
        <f t="shared" si="7"/>
        <v>312</v>
      </c>
      <c r="W18" s="31">
        <f t="shared" si="8"/>
        <v>22233</v>
      </c>
      <c r="X18" s="32"/>
      <c r="Y18" s="14" t="s">
        <v>77</v>
      </c>
      <c r="Z18" s="71">
        <f>ROUND(Z14*0.43,0)</f>
        <v>137865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>
        <v>0</v>
      </c>
      <c r="I19" s="26"/>
      <c r="J19" s="26"/>
      <c r="K19" s="27">
        <f t="shared" si="0"/>
        <v>0</v>
      </c>
      <c r="L19" s="28">
        <f t="shared" si="1"/>
        <v>-31884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28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22233</v>
      </c>
      <c r="X19" s="32">
        <f t="shared" si="9"/>
        <v>54117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58">
        <v>1500</v>
      </c>
      <c r="I20" s="26">
        <v>0</v>
      </c>
      <c r="J20" s="26"/>
      <c r="K20" s="27">
        <f t="shared" si="0"/>
        <v>1500</v>
      </c>
      <c r="L20" s="28">
        <f t="shared" si="1"/>
        <v>-33384</v>
      </c>
      <c r="M20" s="29"/>
      <c r="N20" s="799"/>
      <c r="O20" s="30">
        <f t="shared" si="2"/>
        <v>6.6622547735055455E-3</v>
      </c>
      <c r="P20" s="802"/>
      <c r="Q20" s="31">
        <f t="shared" si="3"/>
        <v>0</v>
      </c>
      <c r="R20" s="28">
        <v>-424</v>
      </c>
      <c r="S20" s="28">
        <f t="shared" si="4"/>
        <v>1076</v>
      </c>
      <c r="T20" s="28">
        <f t="shared" si="5"/>
        <v>0</v>
      </c>
      <c r="U20" s="28">
        <f t="shared" si="6"/>
        <v>0</v>
      </c>
      <c r="V20" s="28">
        <f t="shared" si="7"/>
        <v>1076</v>
      </c>
      <c r="W20" s="31">
        <f t="shared" si="8"/>
        <v>21157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-33384</v>
      </c>
      <c r="M21" s="29"/>
      <c r="N21" s="799"/>
      <c r="O21" s="30"/>
      <c r="P21" s="802"/>
      <c r="Q21" s="31">
        <f t="shared" si="3"/>
        <v>0</v>
      </c>
      <c r="R21" s="28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21157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/>
      <c r="I22" s="558">
        <v>7500</v>
      </c>
      <c r="J22" s="26"/>
      <c r="K22" s="27">
        <f t="shared" si="0"/>
        <v>7500</v>
      </c>
      <c r="L22" s="28">
        <f t="shared" si="1"/>
        <v>-40884</v>
      </c>
      <c r="M22" s="29"/>
      <c r="N22" s="799"/>
      <c r="O22" s="30">
        <f t="shared" si="2"/>
        <v>3.3311273867527726E-2</v>
      </c>
      <c r="P22" s="802"/>
      <c r="Q22" s="31">
        <f t="shared" si="3"/>
        <v>0</v>
      </c>
      <c r="R22" s="28">
        <v>-2121</v>
      </c>
      <c r="S22" s="28">
        <f t="shared" si="4"/>
        <v>0</v>
      </c>
      <c r="T22" s="28">
        <f t="shared" si="5"/>
        <v>5379</v>
      </c>
      <c r="U22" s="28">
        <f t="shared" si="6"/>
        <v>0</v>
      </c>
      <c r="V22" s="28">
        <f t="shared" si="7"/>
        <v>5379</v>
      </c>
      <c r="W22" s="31">
        <f t="shared" si="8"/>
        <v>15778</v>
      </c>
      <c r="X22" s="32">
        <f t="shared" si="9"/>
        <v>56662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-40884</v>
      </c>
      <c r="M23" s="29"/>
      <c r="N23" s="799"/>
      <c r="O23" s="30"/>
      <c r="P23" s="802"/>
      <c r="Q23" s="31">
        <f t="shared" si="3"/>
        <v>0</v>
      </c>
      <c r="R23" s="28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15778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-40884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28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15778</v>
      </c>
      <c r="X24" s="32">
        <f t="shared" si="9"/>
        <v>56662</v>
      </c>
      <c r="Y24" s="74" t="s">
        <v>169</v>
      </c>
      <c r="Z24" s="75">
        <f>+Z18+Z19</f>
        <v>137865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58">
        <v>12000</v>
      </c>
      <c r="I25" s="26"/>
      <c r="J25" s="26"/>
      <c r="K25" s="27">
        <f t="shared" si="0"/>
        <v>12000</v>
      </c>
      <c r="L25" s="28">
        <f t="shared" si="1"/>
        <v>-52884</v>
      </c>
      <c r="M25" s="29"/>
      <c r="N25" s="799"/>
      <c r="O25" s="30">
        <f t="shared" si="2"/>
        <v>5.3298038188044364E-2</v>
      </c>
      <c r="P25" s="802"/>
      <c r="Q25" s="31">
        <f t="shared" si="3"/>
        <v>0</v>
      </c>
      <c r="R25" s="28">
        <v>-3394</v>
      </c>
      <c r="S25" s="28">
        <f t="shared" si="4"/>
        <v>8606</v>
      </c>
      <c r="T25" s="28">
        <f t="shared" si="5"/>
        <v>0</v>
      </c>
      <c r="U25" s="28">
        <f t="shared" si="6"/>
        <v>0</v>
      </c>
      <c r="V25" s="28">
        <f t="shared" si="7"/>
        <v>8606</v>
      </c>
      <c r="W25" s="31">
        <f t="shared" ref="W25:W88" si="11">+W24-V25</f>
        <v>7172</v>
      </c>
      <c r="X25" s="32">
        <f t="shared" si="9"/>
        <v>60056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-87284</v>
      </c>
      <c r="M26" s="86"/>
      <c r="N26" s="800"/>
      <c r="O26" s="87">
        <f t="shared" si="2"/>
        <v>0.15278770947239384</v>
      </c>
      <c r="P26" s="803"/>
      <c r="Q26" s="144">
        <f t="shared" si="3"/>
        <v>0</v>
      </c>
      <c r="R26" s="28">
        <v>-34400</v>
      </c>
      <c r="S26" s="28">
        <f t="shared" si="4"/>
        <v>0</v>
      </c>
      <c r="T26" s="28">
        <f t="shared" si="5"/>
        <v>0</v>
      </c>
      <c r="U26" s="28">
        <f t="shared" si="6"/>
        <v>0</v>
      </c>
      <c r="V26" s="28">
        <f t="shared" si="7"/>
        <v>0</v>
      </c>
      <c r="W26" s="31">
        <f t="shared" si="11"/>
        <v>7172</v>
      </c>
      <c r="X26" s="32">
        <f t="shared" si="9"/>
        <v>94456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-87284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28"/>
      <c r="S27" s="28">
        <f t="shared" si="4"/>
        <v>0</v>
      </c>
      <c r="T27" s="28">
        <f t="shared" si="5"/>
        <v>0</v>
      </c>
      <c r="U27" s="28">
        <f t="shared" si="6"/>
        <v>0</v>
      </c>
      <c r="V27" s="28">
        <f t="shared" si="7"/>
        <v>0</v>
      </c>
      <c r="W27" s="31">
        <f t="shared" si="11"/>
        <v>7172</v>
      </c>
      <c r="X27" s="32">
        <f t="shared" si="9"/>
        <v>94456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-87284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28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7172</v>
      </c>
      <c r="X28" s="32">
        <f t="shared" si="9"/>
        <v>94456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-87284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28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7172</v>
      </c>
      <c r="X29" s="32">
        <f t="shared" si="9"/>
        <v>94456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-87284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28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7172</v>
      </c>
      <c r="X30" s="32">
        <f t="shared" si="9"/>
        <v>94456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-87284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28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7172</v>
      </c>
      <c r="X31" s="32">
        <f t="shared" si="9"/>
        <v>94456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-87284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28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7172</v>
      </c>
      <c r="X32" s="32">
        <f t="shared" si="9"/>
        <v>94456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-87284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28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7172</v>
      </c>
      <c r="X33" s="32">
        <f t="shared" si="9"/>
        <v>94456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-87284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28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7172</v>
      </c>
      <c r="X34" s="32">
        <f t="shared" si="9"/>
        <v>94456</v>
      </c>
      <c r="Y34" s="806"/>
      <c r="Z34" s="112">
        <v>100000</v>
      </c>
      <c r="AA34" s="113">
        <f>AD5-Z34</f>
        <v>-100000</v>
      </c>
      <c r="AB34" s="113">
        <f>Z34+AA34</f>
        <v>0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-87284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28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7172</v>
      </c>
      <c r="X35" s="32">
        <f>W35-L35</f>
        <v>94456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-87284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28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7172</v>
      </c>
      <c r="X36" s="32">
        <f t="shared" si="9"/>
        <v>94456</v>
      </c>
      <c r="Y36" s="117" t="s">
        <v>60</v>
      </c>
      <c r="Z36" s="113">
        <f>Z34*57%</f>
        <v>56999.999999999993</v>
      </c>
      <c r="AA36" s="113">
        <f>AD3-Z36</f>
        <v>-56999.999999999993</v>
      </c>
      <c r="AB36" s="113">
        <f>Z36+AA36</f>
        <v>0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-87284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28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7172</v>
      </c>
      <c r="X37" s="32">
        <f t="shared" si="9"/>
        <v>94456</v>
      </c>
      <c r="Y37" s="117" t="s">
        <v>94</v>
      </c>
      <c r="Z37" s="113">
        <f>+Z35+Z36</f>
        <v>100000</v>
      </c>
      <c r="AA37" s="113">
        <f>SUM(AA35:AA36)</f>
        <v>-100000</v>
      </c>
      <c r="AB37" s="113">
        <f>Z37+AA37</f>
        <v>0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0</v>
      </c>
      <c r="I38" s="26"/>
      <c r="J38" s="26"/>
      <c r="K38" s="27">
        <f t="shared" si="0"/>
        <v>0</v>
      </c>
      <c r="L38" s="28">
        <f>+L37-K38</f>
        <v>-87284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28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7172</v>
      </c>
      <c r="X38" s="32">
        <f t="shared" si="9"/>
        <v>94456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-87284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28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7172</v>
      </c>
      <c r="X39" s="32">
        <f t="shared" si="9"/>
        <v>94456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-87284</v>
      </c>
      <c r="M40" s="29"/>
      <c r="N40" s="799"/>
      <c r="O40" s="30"/>
      <c r="P40" s="802"/>
      <c r="Q40" s="31"/>
      <c r="R40" s="28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7172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-87284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28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7172</v>
      </c>
      <c r="X41" s="32">
        <f t="shared" si="9"/>
        <v>94456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-87284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28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7172</v>
      </c>
      <c r="X42" s="32">
        <f t="shared" si="9"/>
        <v>94456</v>
      </c>
      <c r="Y42" s="74" t="s">
        <v>96</v>
      </c>
      <c r="Z42" s="75">
        <v>35500</v>
      </c>
      <c r="AA42" s="129">
        <f>+H7+H8+H17+H18+H19+H22+H32+H33+H43+H44+H45+H53</f>
        <v>21354</v>
      </c>
      <c r="AB42" s="129">
        <f>+I7+I8+I17+I18+I19+I22+I32+I33+I43+I44+I45+I53</f>
        <v>14646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-87284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28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7172</v>
      </c>
      <c r="X43" s="32">
        <f t="shared" si="9"/>
        <v>94456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-87284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28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7172</v>
      </c>
      <c r="X44" s="32">
        <f t="shared" si="9"/>
        <v>94456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-87284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28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7172</v>
      </c>
      <c r="X45" s="32">
        <f t="shared" si="9"/>
        <v>94456</v>
      </c>
      <c r="Y45" s="131" t="s">
        <v>98</v>
      </c>
      <c r="Z45" s="132">
        <v>9600</v>
      </c>
      <c r="AA45" s="133">
        <f>+H12+H13+H37+H38</f>
        <v>9600</v>
      </c>
      <c r="AB45" s="133">
        <f>+I12+I13+I37+I38</f>
        <v>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58">
        <v>10000</v>
      </c>
      <c r="I46" s="26"/>
      <c r="J46" s="26"/>
      <c r="K46" s="27">
        <f t="shared" si="0"/>
        <v>10000</v>
      </c>
      <c r="L46" s="28">
        <f>+L45-K46</f>
        <v>-97284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28">
        <v>-2828</v>
      </c>
      <c r="S46" s="28">
        <f t="shared" si="4"/>
        <v>7172</v>
      </c>
      <c r="T46" s="28">
        <f t="shared" si="5"/>
        <v>0</v>
      </c>
      <c r="U46" s="28">
        <f t="shared" si="6"/>
        <v>0</v>
      </c>
      <c r="V46" s="28">
        <f t="shared" si="7"/>
        <v>7172</v>
      </c>
      <c r="W46" s="31">
        <f t="shared" si="11"/>
        <v>0</v>
      </c>
      <c r="X46" s="32">
        <f t="shared" si="9"/>
        <v>97284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-97284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0</v>
      </c>
      <c r="X47" s="32">
        <f t="shared" si="9"/>
        <v>97284</v>
      </c>
      <c r="Y47" s="57">
        <v>20000</v>
      </c>
      <c r="Z47" s="89">
        <v>4586</v>
      </c>
      <c r="AA47" s="35"/>
      <c r="AB47" s="57">
        <f>57000-AA60</f>
        <v>57000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-97284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-97284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0</v>
      </c>
      <c r="X49" s="32">
        <f t="shared" si="9"/>
        <v>97284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-97284</v>
      </c>
      <c r="M50" s="95"/>
      <c r="N50" s="804">
        <f>SUM(K50:K55)</f>
        <v>24000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0</v>
      </c>
      <c r="X50" s="32">
        <f t="shared" si="9"/>
        <v>97284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58">
        <v>15000</v>
      </c>
      <c r="J51" s="26"/>
      <c r="K51" s="444">
        <f t="shared" si="0"/>
        <v>15000</v>
      </c>
      <c r="L51" s="28">
        <f t="shared" si="1"/>
        <v>-112284</v>
      </c>
      <c r="M51" s="234"/>
      <c r="N51" s="799"/>
      <c r="O51" s="184"/>
      <c r="P51" s="802"/>
      <c r="Q51" s="31"/>
      <c r="R51" s="31">
        <v>-15000</v>
      </c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11"/>
        <v>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-112284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58">
        <v>2000</v>
      </c>
      <c r="I53" s="26"/>
      <c r="J53" s="26"/>
      <c r="K53" s="27">
        <f t="shared" si="0"/>
        <v>2000</v>
      </c>
      <c r="L53" s="28">
        <f>+L52-K53</f>
        <v>-114284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>
        <v>-2000</v>
      </c>
      <c r="S53" s="28">
        <f t="shared" si="4"/>
        <v>0</v>
      </c>
      <c r="T53" s="28">
        <f t="shared" si="5"/>
        <v>0</v>
      </c>
      <c r="U53" s="28">
        <f t="shared" si="6"/>
        <v>0</v>
      </c>
      <c r="V53" s="28">
        <f t="shared" si="7"/>
        <v>0</v>
      </c>
      <c r="W53" s="31">
        <f t="shared" si="11"/>
        <v>0</v>
      </c>
      <c r="X53" s="32">
        <f t="shared" si="9"/>
        <v>114284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-114284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0</v>
      </c>
      <c r="X54" s="32">
        <f t="shared" si="9"/>
        <v>114284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58">
        <v>7000</v>
      </c>
      <c r="J55" s="143"/>
      <c r="K55" s="27">
        <f t="shared" si="0"/>
        <v>7000</v>
      </c>
      <c r="L55" s="28">
        <f t="shared" si="1"/>
        <v>-121284</v>
      </c>
      <c r="M55" s="86"/>
      <c r="N55" s="800"/>
      <c r="O55" s="87">
        <f t="shared" si="12"/>
        <v>0.7</v>
      </c>
      <c r="P55" s="803"/>
      <c r="Q55" s="97">
        <f t="shared" si="13"/>
        <v>0</v>
      </c>
      <c r="R55" s="31">
        <v>-7000</v>
      </c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31">
        <f t="shared" si="11"/>
        <v>0</v>
      </c>
      <c r="X55" s="119">
        <f t="shared" si="9"/>
        <v>121284</v>
      </c>
      <c r="Y55" s="807">
        <f>Z8</f>
        <v>41919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-121284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0</v>
      </c>
      <c r="X56" s="119">
        <f t="shared" si="9"/>
        <v>121284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-121284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-121284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0</v>
      </c>
      <c r="X58" s="408"/>
      <c r="Y58" s="180" t="s">
        <v>7</v>
      </c>
      <c r="Z58" s="181">
        <f>+AB4</f>
        <v>37429</v>
      </c>
      <c r="AA58" s="182">
        <f>+AB3</f>
        <v>64295.041666666664</v>
      </c>
      <c r="AB58" s="182">
        <f>Z12</f>
        <v>15000</v>
      </c>
      <c r="AC58" s="181">
        <f>AB10</f>
        <v>0</v>
      </c>
      <c r="AD58" s="183">
        <f>SUM(Z58:AC58)</f>
        <v>116724.04166666666</v>
      </c>
      <c r="AE58" s="185">
        <v>90000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-121284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0</v>
      </c>
      <c r="X59" s="408"/>
      <c r="Y59" s="180" t="s">
        <v>17</v>
      </c>
      <c r="Z59" s="182">
        <f>+AC4</f>
        <v>100436</v>
      </c>
      <c r="AA59" s="182">
        <f>AC3</f>
        <v>114427.66666666667</v>
      </c>
      <c r="AB59" s="182">
        <f>Z11</f>
        <v>45000</v>
      </c>
      <c r="AC59" s="181">
        <v>0</v>
      </c>
      <c r="AD59" s="183">
        <f>SUM(Z59:AC59)</f>
        <v>259863.66666666669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9094.6666666666279</v>
      </c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-121284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0</v>
      </c>
      <c r="X60" s="408"/>
      <c r="Y60" s="180" t="s">
        <v>112</v>
      </c>
      <c r="Z60" s="181">
        <f>+AD4+AH11</f>
        <v>0</v>
      </c>
      <c r="AA60" s="182">
        <f>+AD3+AH10</f>
        <v>0</v>
      </c>
      <c r="AB60" s="191">
        <v>0</v>
      </c>
      <c r="AC60" s="181">
        <v>0</v>
      </c>
      <c r="AD60" s="183">
        <f>SUM(Z60:AC60)</f>
        <v>0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-121284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0</v>
      </c>
      <c r="X61" s="408"/>
      <c r="Y61" s="193" t="s">
        <v>113</v>
      </c>
      <c r="Z61" s="194">
        <f>SUM(Z58:Z60)</f>
        <v>137865</v>
      </c>
      <c r="AA61" s="194">
        <f>SUM(AA58:AA60)</f>
        <v>178722.70833333334</v>
      </c>
      <c r="AB61" s="194">
        <f>SUM(AB58:AB60)</f>
        <v>60000</v>
      </c>
      <c r="AC61" s="194">
        <f>AB10</f>
        <v>0</v>
      </c>
      <c r="AD61" s="195">
        <f>SUM(AD58:AD60)</f>
        <v>376587.70833333337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-121284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0</v>
      </c>
      <c r="X62" s="408"/>
      <c r="Y62" s="199" t="s">
        <v>114</v>
      </c>
      <c r="Z62" s="200">
        <f>(Z58/$Z$28+(Z59/$Z$27)+(Z60/$Z$29))</f>
        <v>138243.02256533128</v>
      </c>
      <c r="AA62" s="200">
        <f>(AA58/$Z$28+(AA59/$Z$27)+(AA60/$Z$29))</f>
        <v>179209.37785027688</v>
      </c>
      <c r="AB62" s="200">
        <f>(AB58/$Z$28)+(AB59/$Z$27)</f>
        <v>60164.795198097854</v>
      </c>
      <c r="AC62" s="200">
        <f>AB9</f>
        <v>0</v>
      </c>
      <c r="AD62" s="201">
        <f>(AD58/$Z$28+(AD59/$Z$27)+(AD60/$Z$29))</f>
        <v>377617.19561370602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-121284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0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-121284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0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-121284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0</v>
      </c>
      <c r="X65" s="408"/>
      <c r="Y65" s="371" t="s">
        <v>115</v>
      </c>
      <c r="Z65" s="484"/>
      <c r="AA65" s="203">
        <v>104852.31025000001</v>
      </c>
      <c r="AB65" s="204"/>
      <c r="AC65" s="204"/>
      <c r="AD65" s="205"/>
      <c r="AE65" s="32">
        <v>108797.23749999999</v>
      </c>
      <c r="AF65" s="53">
        <f>+AA65-AE65</f>
        <v>-3944.9272499999788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-121284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0</v>
      </c>
      <c r="X66" s="408"/>
      <c r="Y66" s="814" t="s">
        <v>116</v>
      </c>
      <c r="Z66" s="815"/>
      <c r="AA66" s="203">
        <v>99422.821960000001</v>
      </c>
      <c r="AB66" s="208"/>
      <c r="AC66" s="208"/>
      <c r="AD66" s="209"/>
      <c r="AE66" s="13">
        <v>52014.378240000005</v>
      </c>
      <c r="AF66" s="53">
        <f>+AA66-AE66</f>
        <v>47408.443719999996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-121284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-121284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0</v>
      </c>
      <c r="X68" s="211"/>
      <c r="Y68" s="814" t="s">
        <v>188</v>
      </c>
      <c r="Z68" s="815"/>
      <c r="AA68" s="207">
        <f>Z9*Z30+AC61</f>
        <v>380616.26634086098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-121284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-121284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0</v>
      </c>
      <c r="X70" s="211"/>
      <c r="Y70" s="213"/>
      <c r="Z70" s="232">
        <f>+Z61-2200</f>
        <v>135665</v>
      </c>
      <c r="AA70" s="213"/>
      <c r="AB70" s="213"/>
      <c r="AC70" s="213"/>
      <c r="AD70" s="233">
        <v>491197</v>
      </c>
      <c r="AE70" s="233">
        <f>+AD70-(Z61+AA61)</f>
        <v>174609.29166666663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-121284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-121284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0</v>
      </c>
      <c r="X72" s="211"/>
      <c r="Y72" s="214" t="s">
        <v>47</v>
      </c>
      <c r="Z72" s="215">
        <f>Z8</f>
        <v>41919</v>
      </c>
      <c r="AA72" s="818" t="s">
        <v>118</v>
      </c>
      <c r="AB72" s="818"/>
      <c r="AC72" s="818"/>
      <c r="AD72" s="216">
        <v>0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24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-121284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0</v>
      </c>
      <c r="X73" s="211"/>
      <c r="Y73" s="214" t="s">
        <v>119</v>
      </c>
      <c r="Z73" s="480">
        <f>AD72</f>
        <v>0</v>
      </c>
      <c r="AA73" s="581" t="s">
        <v>120</v>
      </c>
      <c r="AB73" s="581"/>
      <c r="AC73" s="581"/>
      <c r="AD73" s="219">
        <f>24-AD72</f>
        <v>24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21500</v>
      </c>
      <c r="AO73" s="373">
        <f>AN73*AM72/24</f>
        <v>21500</v>
      </c>
      <c r="AP73" s="19">
        <f>21500*AD72/24</f>
        <v>0</v>
      </c>
      <c r="AQ73" s="19">
        <f>21500-AP73</f>
        <v>21500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-121284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580" t="s">
        <v>127</v>
      </c>
      <c r="AK74" s="819"/>
      <c r="AL74" s="819"/>
      <c r="AM74" s="20" t="s">
        <v>232</v>
      </c>
      <c r="AN74" s="19">
        <f>Z79-AN73</f>
        <v>-21500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-121284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0</v>
      </c>
      <c r="X75" s="211"/>
      <c r="Y75" s="580" t="s">
        <v>121</v>
      </c>
      <c r="Z75" s="580" t="s">
        <v>122</v>
      </c>
      <c r="AA75" s="580" t="s">
        <v>123</v>
      </c>
      <c r="AB75" s="820" t="s">
        <v>124</v>
      </c>
      <c r="AC75" s="821"/>
      <c r="AD75" s="822"/>
      <c r="AE75" s="580" t="s">
        <v>125</v>
      </c>
      <c r="AF75" s="580" t="s">
        <v>126</v>
      </c>
      <c r="AG75" s="149"/>
      <c r="AH75" s="580" t="s">
        <v>121</v>
      </c>
      <c r="AI75" s="580"/>
      <c r="AJ75" s="214" t="s">
        <v>7</v>
      </c>
      <c r="AK75" s="236">
        <f>((+AD78-AA78)/$AD$73)*24</f>
        <v>116724.04166666666</v>
      </c>
      <c r="AL75" s="236">
        <f>AK75</f>
        <v>116724.04166666666</v>
      </c>
      <c r="AM75" s="20" t="s">
        <v>7</v>
      </c>
      <c r="AN75" s="19">
        <f>AD58</f>
        <v>116724.04166666666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-121284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0</v>
      </c>
      <c r="X76" s="211"/>
      <c r="Y76" s="580"/>
      <c r="Z76" s="580"/>
      <c r="AA76" s="580"/>
      <c r="AB76" s="580"/>
      <c r="AC76" s="580"/>
      <c r="AD76" s="580"/>
      <c r="AE76" s="580"/>
      <c r="AF76" s="580"/>
      <c r="AG76" s="149"/>
      <c r="AH76" s="580"/>
      <c r="AI76" s="580"/>
      <c r="AJ76" s="214" t="s">
        <v>6</v>
      </c>
      <c r="AK76" s="236">
        <f>((+AD79-AA79)/$AD$73)*24</f>
        <v>259863.66666666669</v>
      </c>
      <c r="AL76" s="236">
        <f>+AK76</f>
        <v>259863.66666666669</v>
      </c>
      <c r="AM76" s="464"/>
      <c r="AN76" s="19">
        <f>SUM(AN73:AN75)</f>
        <v>116724.04166666666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-121284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0</v>
      </c>
      <c r="X77" s="211"/>
      <c r="Y77" s="580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580"/>
      <c r="AI77" s="78"/>
      <c r="AJ77" s="214" t="s">
        <v>8</v>
      </c>
      <c r="AK77" s="236">
        <f>((+AD80-AA80)/$AD$73)*24</f>
        <v>0</v>
      </c>
      <c r="AL77" s="236">
        <f>AK77</f>
        <v>0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-121284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0</v>
      </c>
      <c r="X78" s="211"/>
      <c r="Y78" s="214" t="s">
        <v>7</v>
      </c>
      <c r="Z78" s="224"/>
      <c r="AA78" s="225">
        <v>0</v>
      </c>
      <c r="AB78" s="226">
        <f t="shared" ref="AB78:AC80" si="22">+Z58</f>
        <v>37429</v>
      </c>
      <c r="AC78" s="226">
        <f t="shared" si="22"/>
        <v>64295.041666666664</v>
      </c>
      <c r="AD78" s="226">
        <f>+AB78+AC78+AB58+AC58</f>
        <v>116724.04166666666</v>
      </c>
      <c r="AE78" s="519">
        <f>+((AD58/24)*$AD$73)+AA78</f>
        <v>116724.04166666666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376587.70833333337</v>
      </c>
      <c r="AL78" s="231">
        <f>+SUM(AL75:AL77)</f>
        <v>376587.70833333337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-121284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0</v>
      </c>
      <c r="X79" s="211"/>
      <c r="Y79" s="214" t="s">
        <v>6</v>
      </c>
      <c r="Z79" s="224"/>
      <c r="AA79" s="225">
        <f>0+0</f>
        <v>0</v>
      </c>
      <c r="AB79" s="226">
        <f t="shared" si="22"/>
        <v>100436</v>
      </c>
      <c r="AC79" s="226">
        <f t="shared" si="22"/>
        <v>114427.66666666667</v>
      </c>
      <c r="AD79" s="226">
        <f>+AB79+AC79+AB59</f>
        <v>259863.66666666669</v>
      </c>
      <c r="AE79" s="519">
        <f>+((AD59/24)*$AD$73)+AA79</f>
        <v>259863.66666666669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v>536741</v>
      </c>
      <c r="AL79" s="481">
        <f>AK79-AK78</f>
        <v>160153.29166666663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-121284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0</v>
      </c>
      <c r="X80" s="211"/>
      <c r="Y80" s="214" t="s">
        <v>8</v>
      </c>
      <c r="Z80" s="224"/>
      <c r="AA80" s="225">
        <v>0</v>
      </c>
      <c r="AB80" s="226">
        <f t="shared" si="22"/>
        <v>0</v>
      </c>
      <c r="AC80" s="226">
        <f t="shared" si="22"/>
        <v>0</v>
      </c>
      <c r="AD80" s="226">
        <f>+AB80+AC80</f>
        <v>0</v>
      </c>
      <c r="AE80" s="519">
        <f>+((AD60/24)*$AD$73)+AA80</f>
        <v>0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-121284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0</v>
      </c>
      <c r="X81" s="211"/>
      <c r="Y81" s="228" t="s">
        <v>130</v>
      </c>
      <c r="Z81" s="229">
        <f t="shared" ref="Z81:AE81" si="23">SUM(Z78:Z80)</f>
        <v>0</v>
      </c>
      <c r="AA81" s="230">
        <f t="shared" si="23"/>
        <v>0</v>
      </c>
      <c r="AB81" s="229">
        <f t="shared" si="23"/>
        <v>137865</v>
      </c>
      <c r="AC81" s="229">
        <f t="shared" si="23"/>
        <v>178722.70833333334</v>
      </c>
      <c r="AD81" s="229">
        <f t="shared" si="23"/>
        <v>376587.70833333337</v>
      </c>
      <c r="AE81" s="229">
        <f t="shared" si="23"/>
        <v>376587.70833333337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-121284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-121284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0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-121284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-121284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-121284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-121284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-121284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-121284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0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-121284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-121284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-121284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0</v>
      </c>
      <c r="Y92" s="882" t="s">
        <v>158</v>
      </c>
      <c r="Z92" s="586" t="s">
        <v>283</v>
      </c>
      <c r="AA92" s="587">
        <f>SUMIF($D$2:$D$57,"domiciliario",$I$2:$I$103)</f>
        <v>29586</v>
      </c>
      <c r="AB92" s="587">
        <f>SUMIF($D$2:$D$57,"domiciliario",$T$2:$T$103)</f>
        <v>29586</v>
      </c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-121284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0</v>
      </c>
      <c r="Y93" s="883"/>
      <c r="Z93" s="588" t="s">
        <v>284</v>
      </c>
      <c r="AA93" s="589">
        <f>SUMIF($D$2:$D$57,"industrial",$I$2:$I$103)</f>
        <v>0</v>
      </c>
      <c r="AB93" s="589">
        <f>SUMIF($D$2:$D$57,"industrial",$T$2:$T$103)</f>
        <v>0</v>
      </c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-121284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0</v>
      </c>
      <c r="Y94" s="883"/>
      <c r="Z94" s="588" t="s">
        <v>80</v>
      </c>
      <c r="AA94" s="589">
        <f>SUMIF($D$2:$D$57,"gnv",$I$2:$I$103)</f>
        <v>312</v>
      </c>
      <c r="AB94" s="589">
        <f>SUMIF($D$2:$D$57,"gnv",$T$2:$T$103)</f>
        <v>312</v>
      </c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-121284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0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32500</v>
      </c>
      <c r="AB95" s="589">
        <f>SUMIF($D$2:$D$57,"termico",$T$2:$T$103)+SUMIF($D$2:$D$57,"electrico",$T$2:$T$103)+SUMIF($D$2:$D$57,"térmico",$T$2:$T$103)</f>
        <v>7531</v>
      </c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-121284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0</v>
      </c>
      <c r="Y96" s="884"/>
      <c r="Z96" s="590" t="s">
        <v>286</v>
      </c>
      <c r="AA96" s="591"/>
      <c r="AB96" s="591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-121284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0</v>
      </c>
      <c r="Y97" s="825" t="s">
        <v>154</v>
      </c>
      <c r="Z97" s="489" t="s">
        <v>283</v>
      </c>
      <c r="AA97" s="490">
        <f>SUMIF($D$2:$D$57,"domiciliario",$H$2:$H$103)</f>
        <v>32814</v>
      </c>
      <c r="AB97" s="490">
        <f>SUMIF($D$2:$D$57,"domiciliario",$S$2:$S$103)</f>
        <v>32814</v>
      </c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-121284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0</v>
      </c>
      <c r="Y98" s="826"/>
      <c r="Z98" s="492" t="s">
        <v>284</v>
      </c>
      <c r="AA98" s="493">
        <f>SUMIF($D$2:$D$57,"industrial",$H$2:$H$103)</f>
        <v>34000</v>
      </c>
      <c r="AB98" s="493">
        <f>SUMIF($D$2:$D$57,"industrial",$S$2:$S$103)</f>
        <v>22950</v>
      </c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-121284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0</v>
      </c>
      <c r="Y99" s="826"/>
      <c r="Z99" s="492" t="s">
        <v>80</v>
      </c>
      <c r="AA99" s="493">
        <f>SUMIF($D$2:$D$57,"gnv",$H$2:$H$103)</f>
        <v>0</v>
      </c>
      <c r="AB99" s="493">
        <f>SUMIF($D$2:$D$57,"gnv",$S$2:$S$103)</f>
        <v>0</v>
      </c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-121284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0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95537</v>
      </c>
      <c r="AB100" s="493">
        <f>SUMIF($D$2:$D$57,"termico",$S$2:$S$103)+SUMIF($D$2:$D$57,"electrico",$S$2:$S$103)+SUMIF($D$2:$D$57,"térmico",$S$2:$S$103)</f>
        <v>44672</v>
      </c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-121284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0</v>
      </c>
      <c r="Y101" s="827"/>
      <c r="Z101" s="5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-121284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0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-121284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0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customHeight="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162351</v>
      </c>
      <c r="I105" s="252">
        <f>+SUM(I2:I103)</f>
        <v>62398</v>
      </c>
      <c r="J105" s="252">
        <f>+SUM(J2:J103)</f>
        <v>34400</v>
      </c>
      <c r="K105" s="252">
        <f>SUM(K2:K103)</f>
        <v>259149</v>
      </c>
      <c r="L105" s="253">
        <f>+L103</f>
        <v>-121284</v>
      </c>
      <c r="M105" s="252">
        <f>SUM(M2:M103)</f>
        <v>0</v>
      </c>
      <c r="N105" s="252">
        <f>SUM(N2:N103)</f>
        <v>259149</v>
      </c>
      <c r="O105" s="252"/>
      <c r="P105" s="252">
        <f>SUM(P2:P103)</f>
        <v>0</v>
      </c>
      <c r="Q105" s="252">
        <f>SUM(Q2:Q103)</f>
        <v>0</v>
      </c>
      <c r="R105" s="252">
        <f>SUM(R2:R103)</f>
        <v>-119676</v>
      </c>
      <c r="S105" s="252">
        <f>SUM(S2:S103)</f>
        <v>100436</v>
      </c>
      <c r="T105" s="252">
        <f>+SUM(T2:T103)</f>
        <v>37429</v>
      </c>
      <c r="U105" s="252">
        <f>SUM(U2:U103)</f>
        <v>0</v>
      </c>
      <c r="V105" s="252">
        <f>SUM(V2:V103)</f>
        <v>137865</v>
      </c>
      <c r="W105" s="254">
        <f>+W103</f>
        <v>0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>
        <f>J93-8783</f>
        <v>-8783</v>
      </c>
      <c r="S106" s="119"/>
      <c r="W106" s="119"/>
      <c r="Y106" s="830"/>
      <c r="Z106" s="5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575" t="s">
        <v>304</v>
      </c>
      <c r="I107" s="575" t="s">
        <v>150</v>
      </c>
      <c r="J107" s="575" t="s">
        <v>306</v>
      </c>
      <c r="K107" s="576" t="s">
        <v>307</v>
      </c>
      <c r="L107" s="287" t="s">
        <v>308</v>
      </c>
      <c r="M107" s="259"/>
      <c r="N107" s="259"/>
      <c r="O107" s="259"/>
      <c r="P107" s="259"/>
      <c r="Q107" s="116"/>
      <c r="R107" s="116"/>
      <c r="S107" s="119">
        <v>101196</v>
      </c>
      <c r="T107" s="119">
        <v>38277</v>
      </c>
      <c r="U107" s="116"/>
      <c r="V107" s="119"/>
      <c r="W107" s="119"/>
      <c r="Y107" s="502" t="s">
        <v>289</v>
      </c>
      <c r="Z107" s="503" t="s">
        <v>289</v>
      </c>
      <c r="AA107" s="504">
        <f>SUMIF($D$2:$D$57,"EXPORTACION",$J$2:$J$103)</f>
        <v>34400</v>
      </c>
      <c r="AB107" s="505">
        <f>SUMIF($D$2:$D$57,"EXPORTACION",$U$2:$U$103)</f>
        <v>0</v>
      </c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 t="s">
        <v>193</v>
      </c>
      <c r="I108" s="257">
        <v>15000</v>
      </c>
      <c r="J108" s="574">
        <f>I108/$I$111</f>
        <v>0.46875</v>
      </c>
      <c r="K108" s="119">
        <f>$W$50*J108</f>
        <v>0</v>
      </c>
      <c r="L108" s="119">
        <f>I108-K108</f>
        <v>15000</v>
      </c>
      <c r="M108" s="259"/>
      <c r="N108" s="259"/>
      <c r="O108" s="259"/>
      <c r="P108" s="259"/>
      <c r="Q108" s="116"/>
      <c r="R108" s="116"/>
      <c r="S108" s="119"/>
      <c r="T108" s="116"/>
      <c r="U108" s="116"/>
      <c r="V108" s="121"/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 t="s">
        <v>239</v>
      </c>
      <c r="I109" s="257">
        <v>15000</v>
      </c>
      <c r="J109" s="574">
        <f>I109/$I$111</f>
        <v>0.46875</v>
      </c>
      <c r="K109" s="119">
        <f>$W$50*J109</f>
        <v>0</v>
      </c>
      <c r="L109" s="119">
        <f>I109-K109</f>
        <v>15000</v>
      </c>
      <c r="M109" s="259"/>
      <c r="N109" s="259"/>
      <c r="O109" s="259"/>
      <c r="P109" s="259"/>
      <c r="Q109" s="116"/>
      <c r="R109" s="116"/>
      <c r="S109" s="119">
        <f>S105-S107</f>
        <v>-760</v>
      </c>
      <c r="T109" s="119">
        <f>T105-T107</f>
        <v>-848</v>
      </c>
      <c r="U109" s="116"/>
      <c r="V109" s="119"/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 t="s">
        <v>305</v>
      </c>
      <c r="I110" s="260">
        <v>2000</v>
      </c>
      <c r="J110" s="574">
        <f>I110/$I$111</f>
        <v>6.25E-2</v>
      </c>
      <c r="K110" s="119">
        <f>$W$50*J110</f>
        <v>0</v>
      </c>
      <c r="L110" s="119">
        <f>I110-K110</f>
        <v>2000</v>
      </c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573" t="s">
        <v>9</v>
      </c>
      <c r="I111" s="572">
        <f>SUM(I108:I110)</f>
        <v>32000</v>
      </c>
      <c r="J111" s="574">
        <f>SUM(J108:J110)</f>
        <v>1</v>
      </c>
      <c r="K111" s="265">
        <f>SUM(K108:K110)</f>
        <v>0</v>
      </c>
      <c r="L111" s="265">
        <f>SUM(L108:L110)</f>
        <v>32000</v>
      </c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customHeight="1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115283</v>
      </c>
      <c r="J115" s="274">
        <f>SUM(H2:H5)+H14+SUM(H30:H32)+H35+18820</f>
        <v>37869</v>
      </c>
      <c r="K115" s="845">
        <f t="shared" ref="K115:K123" si="28">I115-J115</f>
        <v>77414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2000</v>
      </c>
      <c r="J116" s="275">
        <f>I116+0</f>
        <v>2000</v>
      </c>
      <c r="K116" s="839">
        <f t="shared" si="28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116013</v>
      </c>
      <c r="J117" s="275">
        <f>I117</f>
        <v>116013</v>
      </c>
      <c r="K117" s="839">
        <f t="shared" si="28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28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28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82709</v>
      </c>
      <c r="J120" s="275">
        <f>I120</f>
        <v>82709</v>
      </c>
      <c r="K120" s="839">
        <f t="shared" si="28"/>
        <v>0</v>
      </c>
      <c r="L120" s="840"/>
      <c r="AJ120" s="109" t="s">
        <v>155</v>
      </c>
      <c r="AK120" s="236">
        <v>169523</v>
      </c>
    </row>
    <row r="121" spans="1:40" ht="12.75" customHeight="1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7109</v>
      </c>
      <c r="J121" s="275">
        <f>I121+0</f>
        <v>7109</v>
      </c>
      <c r="K121" s="839">
        <f t="shared" si="28"/>
        <v>0</v>
      </c>
      <c r="L121" s="840"/>
      <c r="AJ121" s="354" t="s">
        <v>135</v>
      </c>
      <c r="AK121" s="355">
        <v>173236</v>
      </c>
    </row>
    <row r="122" spans="1:40" ht="12.75" customHeight="1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15191</v>
      </c>
      <c r="J122" s="277">
        <f>SUM(I15:I24)+SUM(I38:I43)+4379</f>
        <v>15191</v>
      </c>
      <c r="K122" s="839">
        <f t="shared" si="28"/>
        <v>0</v>
      </c>
      <c r="L122" s="840"/>
      <c r="M122" s="50"/>
      <c r="N122" s="50"/>
      <c r="O122" s="50"/>
      <c r="P122" s="50"/>
      <c r="AJ122" s="109"/>
      <c r="AK122" s="236"/>
    </row>
    <row r="123" spans="1:40" ht="12.75" customHeight="1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28"/>
        <v>0</v>
      </c>
      <c r="L123" s="840"/>
      <c r="AJ123" s="354"/>
      <c r="AK123" s="355"/>
    </row>
    <row r="124" spans="1:40" ht="13.5" customHeight="1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customHeight="1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customHeight="1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customHeight="1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ht="12.75" customHeight="1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ht="12.75" customHeight="1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29">I129-J129</f>
        <v>0</v>
      </c>
      <c r="L129" s="854"/>
    </row>
    <row r="130" spans="1:26" ht="12.75" customHeight="1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29"/>
        <v>1728</v>
      </c>
      <c r="L130" s="854"/>
    </row>
    <row r="131" spans="1:26" ht="12.75" customHeight="1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29"/>
        <v>0</v>
      </c>
      <c r="L131" s="854"/>
    </row>
    <row r="132" spans="1:26" ht="12.75" customHeight="1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29"/>
        <v>6594</v>
      </c>
      <c r="L132" s="854"/>
    </row>
    <row r="133" spans="1:26" ht="12.75" customHeight="1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29"/>
        <v>0</v>
      </c>
      <c r="L133" s="854"/>
    </row>
    <row r="134" spans="1:26" ht="12.75" customHeight="1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29"/>
        <v>0</v>
      </c>
      <c r="L134" s="854"/>
    </row>
    <row r="135" spans="1:26" ht="12.75" customHeight="1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29"/>
        <v>0</v>
      </c>
      <c r="L135" s="854"/>
    </row>
    <row r="136" spans="1:26" ht="12.75" customHeight="1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29"/>
        <v>0</v>
      </c>
      <c r="L136" s="854"/>
    </row>
    <row r="137" spans="1:26" ht="13.5" customHeight="1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29"/>
        <v>262</v>
      </c>
      <c r="L137" s="854"/>
      <c r="X137" s="20"/>
      <c r="Z137" s="20"/>
    </row>
    <row r="138" spans="1:26" ht="15.75" customHeight="1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customHeight="1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customHeight="1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ht="12.75" customHeight="1" x14ac:dyDescent="0.2">
      <c r="G141" s="864" t="s">
        <v>154</v>
      </c>
      <c r="H141" s="295" t="s">
        <v>28</v>
      </c>
      <c r="I141" s="296">
        <f t="shared" ref="I141:K151" si="30">I115+I128</f>
        <v>115283</v>
      </c>
      <c r="J141" s="296">
        <f t="shared" si="30"/>
        <v>37869</v>
      </c>
      <c r="K141" s="867">
        <f t="shared" si="30"/>
        <v>77414</v>
      </c>
      <c r="L141" s="868"/>
      <c r="X141" s="20"/>
      <c r="Z141" s="20"/>
    </row>
    <row r="142" spans="1:26" ht="12.75" customHeight="1" x14ac:dyDescent="0.2">
      <c r="C142" s="20"/>
      <c r="F142" s="20"/>
      <c r="G142" s="865"/>
      <c r="H142" s="297" t="s">
        <v>80</v>
      </c>
      <c r="I142" s="298">
        <f t="shared" si="30"/>
        <v>2000</v>
      </c>
      <c r="J142" s="298">
        <f t="shared" si="30"/>
        <v>2000</v>
      </c>
      <c r="K142" s="869">
        <f t="shared" si="30"/>
        <v>0</v>
      </c>
      <c r="L142" s="870"/>
      <c r="X142" s="20"/>
      <c r="Z142" s="20"/>
    </row>
    <row r="143" spans="1:26" ht="12.75" customHeight="1" x14ac:dyDescent="0.2">
      <c r="G143" s="865"/>
      <c r="H143" s="297" t="s">
        <v>61</v>
      </c>
      <c r="I143" s="298">
        <f t="shared" si="30"/>
        <v>117741</v>
      </c>
      <c r="J143" s="298">
        <f t="shared" si="30"/>
        <v>116013</v>
      </c>
      <c r="K143" s="869">
        <f t="shared" si="30"/>
        <v>1728</v>
      </c>
      <c r="L143" s="870"/>
      <c r="X143" s="20"/>
      <c r="Z143" s="20"/>
    </row>
    <row r="144" spans="1:26" ht="12.75" customHeight="1" x14ac:dyDescent="0.2">
      <c r="G144" s="865"/>
      <c r="H144" s="297" t="s">
        <v>156</v>
      </c>
      <c r="I144" s="298">
        <f t="shared" si="30"/>
        <v>14000</v>
      </c>
      <c r="J144" s="298">
        <f t="shared" si="30"/>
        <v>14000</v>
      </c>
      <c r="K144" s="869">
        <f t="shared" si="30"/>
        <v>0</v>
      </c>
      <c r="L144" s="870"/>
      <c r="X144" s="20"/>
      <c r="Z144" s="20"/>
    </row>
    <row r="145" spans="3:26" ht="13.5" customHeight="1" thickBot="1" x14ac:dyDescent="0.25">
      <c r="G145" s="866"/>
      <c r="H145" s="299" t="s">
        <v>157</v>
      </c>
      <c r="I145" s="300">
        <f t="shared" si="30"/>
        <v>67705</v>
      </c>
      <c r="J145" s="300">
        <f t="shared" si="30"/>
        <v>61111</v>
      </c>
      <c r="K145" s="871">
        <f t="shared" si="30"/>
        <v>6594</v>
      </c>
      <c r="L145" s="872"/>
      <c r="X145" s="20"/>
      <c r="Z145" s="20"/>
    </row>
    <row r="146" spans="3:26" ht="12.75" customHeight="1" x14ac:dyDescent="0.2">
      <c r="G146" s="879" t="s">
        <v>158</v>
      </c>
      <c r="H146" s="295" t="s">
        <v>28</v>
      </c>
      <c r="I146" s="296">
        <f t="shared" si="30"/>
        <v>82724</v>
      </c>
      <c r="J146" s="296">
        <f t="shared" si="30"/>
        <v>82724</v>
      </c>
      <c r="K146" s="867">
        <f t="shared" si="30"/>
        <v>0</v>
      </c>
      <c r="L146" s="868"/>
      <c r="X146" s="20"/>
      <c r="Z146" s="20"/>
    </row>
    <row r="147" spans="3:26" ht="12.75" customHeight="1" x14ac:dyDescent="0.2">
      <c r="G147" s="880"/>
      <c r="H147" s="297" t="s">
        <v>80</v>
      </c>
      <c r="I147" s="301">
        <f t="shared" si="30"/>
        <v>7109</v>
      </c>
      <c r="J147" s="301">
        <f t="shared" si="30"/>
        <v>7109</v>
      </c>
      <c r="K147" s="869">
        <f t="shared" si="30"/>
        <v>0</v>
      </c>
      <c r="L147" s="870"/>
      <c r="X147" s="20"/>
      <c r="Z147" s="20"/>
    </row>
    <row r="148" spans="3:26" ht="12.75" customHeight="1" x14ac:dyDescent="0.2">
      <c r="G148" s="880"/>
      <c r="H148" s="297" t="s">
        <v>61</v>
      </c>
      <c r="I148" s="301">
        <f t="shared" si="30"/>
        <v>15191</v>
      </c>
      <c r="J148" s="301">
        <f t="shared" si="30"/>
        <v>15191</v>
      </c>
      <c r="K148" s="869">
        <f t="shared" si="30"/>
        <v>0</v>
      </c>
      <c r="L148" s="870"/>
      <c r="X148" s="20"/>
      <c r="Z148" s="20"/>
    </row>
    <row r="149" spans="3:26" ht="12.75" customHeight="1" x14ac:dyDescent="0.2">
      <c r="G149" s="880"/>
      <c r="H149" s="297" t="s">
        <v>156</v>
      </c>
      <c r="I149" s="301">
        <f t="shared" si="30"/>
        <v>38756</v>
      </c>
      <c r="J149" s="301">
        <f t="shared" si="30"/>
        <v>38756</v>
      </c>
      <c r="K149" s="869">
        <f t="shared" si="30"/>
        <v>0</v>
      </c>
      <c r="L149" s="870"/>
      <c r="X149" s="20"/>
      <c r="Z149" s="20"/>
    </row>
    <row r="150" spans="3:26" ht="13.5" customHeight="1" thickBot="1" x14ac:dyDescent="0.25">
      <c r="G150" s="881"/>
      <c r="H150" s="299" t="s">
        <v>157</v>
      </c>
      <c r="I150" s="302">
        <f t="shared" si="30"/>
        <v>1700</v>
      </c>
      <c r="J150" s="302">
        <f t="shared" si="30"/>
        <v>1438</v>
      </c>
      <c r="K150" s="871">
        <f t="shared" si="30"/>
        <v>262</v>
      </c>
      <c r="L150" s="872"/>
      <c r="X150" s="20"/>
      <c r="Z150" s="20"/>
    </row>
    <row r="151" spans="3:26" ht="15.75" customHeight="1" thickBot="1" x14ac:dyDescent="0.25">
      <c r="G151" s="847" t="s">
        <v>162</v>
      </c>
      <c r="H151" s="873"/>
      <c r="I151" s="303">
        <f t="shared" si="30"/>
        <v>300000</v>
      </c>
      <c r="J151" s="303">
        <f t="shared" si="30"/>
        <v>108136</v>
      </c>
      <c r="K151" s="874">
        <f>I151-J151</f>
        <v>191864</v>
      </c>
      <c r="L151" s="873"/>
      <c r="X151" s="20"/>
      <c r="Z151" s="20"/>
    </row>
    <row r="152" spans="3:26" ht="15.75" customHeight="1" thickBot="1" x14ac:dyDescent="0.3">
      <c r="G152" s="875" t="s">
        <v>163</v>
      </c>
      <c r="H152" s="876"/>
      <c r="I152" s="304">
        <f>SUM(I141:I150)</f>
        <v>462209</v>
      </c>
      <c r="J152" s="304">
        <f>SUM(J141:J150)</f>
        <v>376211</v>
      </c>
      <c r="K152" s="877">
        <f>SUM(K141:L150)</f>
        <v>85998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J156" s="307">
        <v>28391</v>
      </c>
      <c r="Q156" s="20">
        <v>8815</v>
      </c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H158" s="307" t="s">
        <v>249</v>
      </c>
      <c r="I158" s="307">
        <v>20500</v>
      </c>
      <c r="J158" s="18">
        <f>I158/I162</f>
        <v>0.46345488662310946</v>
      </c>
      <c r="L158" s="80">
        <f>J156*$J$158</f>
        <v>13157.9476861167</v>
      </c>
      <c r="N158" s="20" t="s">
        <v>256</v>
      </c>
      <c r="P158" s="20">
        <v>360</v>
      </c>
      <c r="Q158" s="20">
        <v>4733</v>
      </c>
      <c r="R158" s="18">
        <f>Q158/Q162</f>
        <v>0.34464428748270587</v>
      </c>
      <c r="S158" s="18"/>
      <c r="T158" s="80">
        <f>Q156*R158</f>
        <v>3038.0393941600523</v>
      </c>
      <c r="X158" s="20"/>
      <c r="Z158" s="20"/>
    </row>
    <row r="159" spans="3:26" x14ac:dyDescent="0.2">
      <c r="C159" s="20"/>
      <c r="F159" s="20"/>
      <c r="H159" s="307" t="s">
        <v>250</v>
      </c>
      <c r="I159" s="307">
        <v>13733</v>
      </c>
      <c r="J159" s="18">
        <f>I159/I162</f>
        <v>0.31046955892659328</v>
      </c>
      <c r="L159" s="80">
        <f>J156*$J$159</f>
        <v>8814.541247484909</v>
      </c>
      <c r="P159" s="20">
        <v>361</v>
      </c>
      <c r="Q159" s="20">
        <v>1500</v>
      </c>
      <c r="R159" s="18">
        <f>Q159/Q162</f>
        <v>0.10922595208621569</v>
      </c>
      <c r="S159" s="18"/>
      <c r="T159" s="80">
        <f>Q156*R159</f>
        <v>962.82676763999132</v>
      </c>
      <c r="X159" s="20"/>
      <c r="Z159" s="20"/>
    </row>
    <row r="160" spans="3:26" x14ac:dyDescent="0.2">
      <c r="C160" s="20"/>
      <c r="F160" s="20"/>
      <c r="H160" s="307" t="s">
        <v>251</v>
      </c>
      <c r="I160" s="307">
        <v>10000</v>
      </c>
      <c r="J160" s="18">
        <f>I160/I162</f>
        <v>0.22607555445029728</v>
      </c>
      <c r="L160" s="80">
        <f>J156*$J$160</f>
        <v>6418.5110663983905</v>
      </c>
      <c r="P160" s="20">
        <v>363</v>
      </c>
      <c r="Q160" s="20">
        <v>7500</v>
      </c>
      <c r="R160" s="18">
        <f>Q160/Q162</f>
        <v>0.54612976043107841</v>
      </c>
      <c r="S160" s="18"/>
      <c r="T160" s="80">
        <f>Q156*R160</f>
        <v>4814.1338381999558</v>
      </c>
      <c r="X160" s="20"/>
      <c r="Z160" s="20"/>
    </row>
    <row r="161" spans="3:26" x14ac:dyDescent="0.2">
      <c r="C161" s="20"/>
      <c r="F161" s="20"/>
      <c r="J161" s="20"/>
      <c r="X161" s="20"/>
      <c r="Z161" s="20"/>
    </row>
    <row r="162" spans="3:26" x14ac:dyDescent="0.2">
      <c r="C162" s="20"/>
      <c r="F162" s="20"/>
      <c r="I162" s="307">
        <f>SUM(I158:I160)</f>
        <v>44233</v>
      </c>
      <c r="J162" s="20"/>
      <c r="Q162" s="20">
        <f>SUM(Q158:Q160)</f>
        <v>13733</v>
      </c>
      <c r="X162" s="20"/>
      <c r="Z162" s="20"/>
    </row>
    <row r="163" spans="3:26" x14ac:dyDescent="0.2">
      <c r="C163" s="20"/>
      <c r="F163" s="20"/>
      <c r="J163" s="20"/>
      <c r="X163" s="20"/>
      <c r="Z163" s="20"/>
    </row>
    <row r="164" spans="3:26" x14ac:dyDescent="0.2">
      <c r="C164" s="20"/>
      <c r="F164" s="20"/>
      <c r="J164" s="20"/>
      <c r="X164" s="20"/>
      <c r="Z164" s="20"/>
    </row>
    <row r="165" spans="3:26" x14ac:dyDescent="0.2">
      <c r="C165" s="20"/>
      <c r="F165" s="20"/>
      <c r="H165" s="458"/>
      <c r="I165" s="459" t="s">
        <v>252</v>
      </c>
      <c r="J165" s="78">
        <v>14260</v>
      </c>
      <c r="K165" s="78"/>
      <c r="P165" s="20" t="s">
        <v>254</v>
      </c>
      <c r="Q165" s="20">
        <v>6506</v>
      </c>
      <c r="X165" s="20"/>
      <c r="Z165" s="20"/>
    </row>
    <row r="166" spans="3:26" x14ac:dyDescent="0.2">
      <c r="C166" s="20"/>
      <c r="F166" s="20"/>
      <c r="H166" s="458" t="s">
        <v>253</v>
      </c>
      <c r="J166" s="20"/>
      <c r="N166" s="20" t="s">
        <v>255</v>
      </c>
      <c r="X166" s="20"/>
      <c r="Z166" s="20"/>
    </row>
    <row r="167" spans="3:26" x14ac:dyDescent="0.2">
      <c r="C167" s="20"/>
      <c r="F167" s="20"/>
      <c r="H167" s="458">
        <v>355</v>
      </c>
      <c r="I167" s="307">
        <v>5205</v>
      </c>
      <c r="J167" s="18">
        <f>I167/I170</f>
        <v>0.22430510665804784</v>
      </c>
      <c r="K167" s="80">
        <f>J165*J167</f>
        <v>3198.5908209437621</v>
      </c>
      <c r="N167" s="20">
        <v>364</v>
      </c>
      <c r="P167" s="20">
        <v>3600</v>
      </c>
      <c r="Q167" s="461">
        <f>P167/P170</f>
        <v>0.34003967129498441</v>
      </c>
      <c r="R167" s="80">
        <f>Q165*Q167</f>
        <v>2212.2981014451684</v>
      </c>
      <c r="X167" s="20"/>
      <c r="Z167" s="20"/>
    </row>
    <row r="168" spans="3:26" x14ac:dyDescent="0.2">
      <c r="C168" s="20"/>
      <c r="F168" s="20"/>
      <c r="H168" s="458">
        <v>356</v>
      </c>
      <c r="I168" s="307">
        <v>18000</v>
      </c>
      <c r="J168" s="18">
        <f>I168/I170</f>
        <v>0.77569489334195219</v>
      </c>
      <c r="K168" s="80">
        <f>J165*J168</f>
        <v>11061.409179056238</v>
      </c>
      <c r="N168" s="20">
        <v>365</v>
      </c>
      <c r="P168" s="20">
        <v>6000</v>
      </c>
      <c r="Q168" s="461">
        <f>P168/P170</f>
        <v>0.56673278549164074</v>
      </c>
      <c r="R168" s="80">
        <f>Q165*Q168</f>
        <v>3687.1635024086145</v>
      </c>
      <c r="X168" s="20"/>
      <c r="Z168" s="20"/>
    </row>
    <row r="169" spans="3:26" x14ac:dyDescent="0.2">
      <c r="C169" s="20"/>
      <c r="F169" s="20"/>
      <c r="H169" s="460"/>
      <c r="J169" s="20"/>
      <c r="N169" s="20" t="s">
        <v>257</v>
      </c>
      <c r="P169" s="20">
        <v>987</v>
      </c>
      <c r="Q169" s="461">
        <f>P169/P170</f>
        <v>9.3227543213374897E-2</v>
      </c>
      <c r="R169" s="80">
        <f>Q165*Q169</f>
        <v>606.53839614621711</v>
      </c>
      <c r="X169" s="20"/>
      <c r="Z169" s="20"/>
    </row>
    <row r="170" spans="3:26" x14ac:dyDescent="0.2">
      <c r="C170" s="20"/>
      <c r="F170" s="20"/>
      <c r="H170" s="458"/>
      <c r="I170" s="458">
        <f>SUM(I167:I168)</f>
        <v>23205</v>
      </c>
      <c r="J170" s="78"/>
      <c r="K170" s="78"/>
      <c r="P170" s="20">
        <f>SUM(P167:P169)</f>
        <v>10587</v>
      </c>
      <c r="X170" s="20"/>
      <c r="Z170" s="20"/>
    </row>
    <row r="171" spans="3:26" ht="15" x14ac:dyDescent="0.25">
      <c r="C171" s="20"/>
      <c r="F171" s="20"/>
      <c r="G171" s="305"/>
      <c r="H171" s="306"/>
      <c r="J171" s="20"/>
      <c r="X171" s="20"/>
      <c r="Z171" s="20"/>
    </row>
    <row r="172" spans="3:26" x14ac:dyDescent="0.2">
      <c r="C172" s="20"/>
      <c r="F172" s="20"/>
      <c r="J172" s="20"/>
      <c r="X172" s="20"/>
      <c r="Z172" s="20"/>
    </row>
    <row r="173" spans="3:26" x14ac:dyDescent="0.2">
      <c r="C173" s="20"/>
      <c r="F173" s="20"/>
      <c r="J173" s="20"/>
      <c r="X173" s="20"/>
      <c r="Z173" s="20"/>
    </row>
  </sheetData>
  <autoFilter ref="A1:AN152">
    <filterColumn colId="27" showButton="0"/>
    <filterColumn colId="28" showButton="0"/>
    <filterColumn colId="29" showButton="0"/>
  </autoFilter>
  <mergeCells count="87"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25:H125"/>
    <mergeCell ref="K125:L125"/>
    <mergeCell ref="G126:H126"/>
    <mergeCell ref="I126:L126"/>
    <mergeCell ref="K127:L127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A113:A114"/>
    <mergeCell ref="B113:B114"/>
    <mergeCell ref="G113:H113"/>
    <mergeCell ref="I113:L113"/>
    <mergeCell ref="K114:L114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74" priority="3" operator="lessThan">
      <formula>$AA$78</formula>
    </cfRule>
    <cfRule type="cellIs" dxfId="173" priority="5" operator="greaterThan">
      <formula>$AE$78</formula>
    </cfRule>
  </conditionalFormatting>
  <conditionalFormatting sqref="AA79">
    <cfRule type="cellIs" dxfId="172" priority="4" operator="greaterThan">
      <formula>$AE$79</formula>
    </cfRule>
  </conditionalFormatting>
  <conditionalFormatting sqref="AA80">
    <cfRule type="cellIs" dxfId="171" priority="2" operator="greaterThan">
      <formula>$AE$79</formula>
    </cfRule>
  </conditionalFormatting>
  <conditionalFormatting sqref="AU4:AU23">
    <cfRule type="cellIs" dxfId="170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002060"/>
  </sheetPr>
  <dimension ref="A1:AU173"/>
  <sheetViews>
    <sheetView topLeftCell="S1" zoomScale="90" zoomScaleNormal="90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58">
        <v>3000</v>
      </c>
      <c r="I2" s="26">
        <v>0</v>
      </c>
      <c r="J2" s="26"/>
      <c r="K2" s="27">
        <f>SUM(H2:J2)</f>
        <v>3000</v>
      </c>
      <c r="L2" s="28">
        <f>AA4-K2</f>
        <v>153786</v>
      </c>
      <c r="M2" s="29"/>
      <c r="N2" s="798">
        <f>SUM(K2:K26)</f>
        <v>225149</v>
      </c>
      <c r="O2" s="30">
        <f>+K2/$N$2</f>
        <v>1.3324509547011091E-2</v>
      </c>
      <c r="P2" s="801"/>
      <c r="Q2" s="31">
        <f>IF($P$2=0,0,(-($P$2*O2)+K2)-K2)</f>
        <v>0</v>
      </c>
      <c r="R2" s="31"/>
      <c r="S2" s="599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153786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585" t="s">
        <v>31</v>
      </c>
      <c r="AE2" s="585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58">
        <v>1100</v>
      </c>
      <c r="J3" s="26"/>
      <c r="K3" s="27">
        <f t="shared" ref="K3:K73" si="0">SUM(H3:J3)</f>
        <v>1100</v>
      </c>
      <c r="L3" s="28">
        <f t="shared" ref="L3:L66" si="1">+L2-K3</f>
        <v>152686</v>
      </c>
      <c r="M3" s="29"/>
      <c r="N3" s="799"/>
      <c r="O3" s="30">
        <f t="shared" ref="O3:O29" si="2">+K3/$N$2</f>
        <v>4.8856535005707335E-3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59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152686</v>
      </c>
      <c r="X3" s="32">
        <f t="shared" ref="X3:X56" si="9">W3-L3</f>
        <v>0</v>
      </c>
      <c r="Y3" s="37" t="s">
        <v>34</v>
      </c>
      <c r="Z3" s="38">
        <f>ROUND((Z13*57%),0)</f>
        <v>208411</v>
      </c>
      <c r="AA3" s="39">
        <f>ROUND((+Z14*0.57),0)</f>
        <v>207833</v>
      </c>
      <c r="AB3" s="454"/>
      <c r="AC3" s="455"/>
      <c r="AD3" s="40">
        <v>0</v>
      </c>
      <c r="AE3" s="41">
        <f>SUM(AB3:AD3)</f>
        <v>0</v>
      </c>
      <c r="AF3" s="41">
        <f>AA3-AE3</f>
        <v>207833</v>
      </c>
      <c r="AG3" s="42">
        <f>AA3-AB3-AC3-AD3</f>
        <v>207833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58">
        <v>22400</v>
      </c>
      <c r="J4" s="26"/>
      <c r="K4" s="27">
        <f t="shared" si="0"/>
        <v>22400</v>
      </c>
      <c r="L4" s="28">
        <f t="shared" si="1"/>
        <v>130286</v>
      </c>
      <c r="M4" s="29"/>
      <c r="N4" s="799"/>
      <c r="O4" s="30">
        <f t="shared" si="2"/>
        <v>9.9489671284349476E-2</v>
      </c>
      <c r="P4" s="802"/>
      <c r="Q4" s="31">
        <f t="shared" si="3"/>
        <v>0</v>
      </c>
      <c r="R4" s="31"/>
      <c r="S4" s="28">
        <f t="shared" si="4"/>
        <v>0</v>
      </c>
      <c r="T4" s="59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130286</v>
      </c>
      <c r="X4" s="32">
        <f t="shared" si="9"/>
        <v>0</v>
      </c>
      <c r="Y4" s="37" t="s">
        <v>38</v>
      </c>
      <c r="Z4" s="38">
        <f>ROUND((Z13*43%),0)</f>
        <v>157222</v>
      </c>
      <c r="AA4" s="39">
        <f>ROUND((+Z14*0.43),0)</f>
        <v>156786</v>
      </c>
      <c r="AB4" s="43">
        <f>T105</f>
        <v>39324</v>
      </c>
      <c r="AC4" s="43">
        <f>S105</f>
        <v>117463</v>
      </c>
      <c r="AD4" s="40">
        <f>U105</f>
        <v>0</v>
      </c>
      <c r="AE4" s="41">
        <f>SUM(AB4:AD4)</f>
        <v>156787</v>
      </c>
      <c r="AF4" s="41">
        <f>AA4-AE4</f>
        <v>-1</v>
      </c>
      <c r="AG4" s="42">
        <f>AA4-AB4-AC4-AD4</f>
        <v>-1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58">
        <v>1200</v>
      </c>
      <c r="J5" s="26"/>
      <c r="K5" s="27">
        <f t="shared" si="0"/>
        <v>1200</v>
      </c>
      <c r="L5" s="28">
        <f t="shared" si="1"/>
        <v>129086</v>
      </c>
      <c r="M5" s="29"/>
      <c r="N5" s="799"/>
      <c r="O5" s="30">
        <f t="shared" si="2"/>
        <v>5.3298038188044359E-3</v>
      </c>
      <c r="P5" s="802"/>
      <c r="Q5" s="31">
        <f t="shared" si="3"/>
        <v>0</v>
      </c>
      <c r="R5" s="28"/>
      <c r="S5" s="28">
        <f t="shared" si="4"/>
        <v>0</v>
      </c>
      <c r="T5" s="59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129086</v>
      </c>
      <c r="X5" s="32">
        <f t="shared" si="9"/>
        <v>0</v>
      </c>
      <c r="Y5" s="44" t="s">
        <v>41</v>
      </c>
      <c r="Z5" s="38">
        <f>SUM(Z3:Z4)</f>
        <v>365633</v>
      </c>
      <c r="AA5" s="45">
        <f>SUM(AA3:AA4)</f>
        <v>364619</v>
      </c>
      <c r="AB5" s="46">
        <f>SUM(AB3:AB4)</f>
        <v>39324</v>
      </c>
      <c r="AC5" s="41">
        <f>SUM(AC3:AC4)</f>
        <v>117463</v>
      </c>
      <c r="AD5" s="40">
        <f>SUM(AD3:AD4)</f>
        <v>0</v>
      </c>
      <c r="AE5" s="41">
        <f>SUM(AB5:AD5)</f>
        <v>156787</v>
      </c>
      <c r="AF5" s="47">
        <f>SUM(AF3:AF4)</f>
        <v>207832</v>
      </c>
      <c r="AG5" s="47">
        <f>SUM(AG3:AG4)</f>
        <v>207832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58">
        <v>12000</v>
      </c>
      <c r="I6" s="26"/>
      <c r="J6" s="26"/>
      <c r="K6" s="27">
        <f t="shared" si="0"/>
        <v>12000</v>
      </c>
      <c r="L6" s="28">
        <f t="shared" si="1"/>
        <v>117086</v>
      </c>
      <c r="M6" s="29"/>
      <c r="N6" s="799"/>
      <c r="O6" s="30">
        <f t="shared" si="2"/>
        <v>5.3298038188044364E-2</v>
      </c>
      <c r="P6" s="802"/>
      <c r="Q6" s="31">
        <f t="shared" si="3"/>
        <v>0</v>
      </c>
      <c r="R6" s="2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117086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58">
        <f>1796+12370</f>
        <v>14166</v>
      </c>
      <c r="I7" s="558">
        <f>800+2430+604</f>
        <v>3834</v>
      </c>
      <c r="J7" s="26"/>
      <c r="K7" s="27">
        <f t="shared" si="0"/>
        <v>18000</v>
      </c>
      <c r="L7" s="28">
        <f t="shared" si="1"/>
        <v>99086</v>
      </c>
      <c r="M7" s="29"/>
      <c r="N7" s="799"/>
      <c r="O7" s="30">
        <f t="shared" si="2"/>
        <v>7.9947057282066539E-2</v>
      </c>
      <c r="P7" s="802"/>
      <c r="Q7" s="31">
        <f t="shared" si="3"/>
        <v>0</v>
      </c>
      <c r="R7" s="28"/>
      <c r="S7" s="599">
        <f t="shared" si="4"/>
        <v>14166</v>
      </c>
      <c r="T7" s="59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99086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58">
        <v>2500</v>
      </c>
      <c r="I8" s="26"/>
      <c r="J8" s="26"/>
      <c r="K8" s="27">
        <f t="shared" si="0"/>
        <v>2500</v>
      </c>
      <c r="L8" s="28">
        <f t="shared" si="1"/>
        <v>96586</v>
      </c>
      <c r="M8" s="29"/>
      <c r="N8" s="799"/>
      <c r="O8" s="30">
        <f t="shared" si="2"/>
        <v>1.1103757955842576E-2</v>
      </c>
      <c r="P8" s="802"/>
      <c r="Q8" s="31">
        <f t="shared" si="3"/>
        <v>0</v>
      </c>
      <c r="R8" s="28"/>
      <c r="S8" s="599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96586</v>
      </c>
      <c r="X8" s="32">
        <f t="shared" si="9"/>
        <v>0</v>
      </c>
      <c r="Y8" s="14" t="s">
        <v>47</v>
      </c>
      <c r="Z8" s="54">
        <v>41919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58">
        <v>1148</v>
      </c>
      <c r="I9" s="518">
        <v>1052</v>
      </c>
      <c r="J9" s="26"/>
      <c r="K9" s="27">
        <f t="shared" si="0"/>
        <v>2200</v>
      </c>
      <c r="L9" s="28">
        <f t="shared" si="1"/>
        <v>94386</v>
      </c>
      <c r="M9" s="29"/>
      <c r="N9" s="799"/>
      <c r="O9" s="30">
        <f t="shared" si="2"/>
        <v>9.771307001141467E-3</v>
      </c>
      <c r="P9" s="802"/>
      <c r="Q9" s="31">
        <f t="shared" si="3"/>
        <v>0</v>
      </c>
      <c r="R9" s="28"/>
      <c r="S9" s="599">
        <f t="shared" si="4"/>
        <v>1148</v>
      </c>
      <c r="T9" s="598">
        <f t="shared" si="5"/>
        <v>1052</v>
      </c>
      <c r="U9" s="28">
        <f t="shared" si="6"/>
        <v>0</v>
      </c>
      <c r="V9" s="28">
        <f t="shared" si="7"/>
        <v>2200</v>
      </c>
      <c r="W9" s="31">
        <f t="shared" si="8"/>
        <v>94386</v>
      </c>
      <c r="X9" s="32">
        <f t="shared" si="9"/>
        <v>0</v>
      </c>
      <c r="Y9" s="14" t="s">
        <v>189</v>
      </c>
      <c r="Z9" s="58">
        <v>425800</v>
      </c>
      <c r="AA9" s="59">
        <f>Z9*14.65/14.73</f>
        <v>423487.44059742021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-170000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58">
        <v>20000</v>
      </c>
      <c r="I10" s="558"/>
      <c r="J10" s="26"/>
      <c r="K10" s="27">
        <f t="shared" si="0"/>
        <v>20000</v>
      </c>
      <c r="L10" s="28">
        <f t="shared" si="1"/>
        <v>74386</v>
      </c>
      <c r="M10" s="29"/>
      <c r="N10" s="799"/>
      <c r="O10" s="30">
        <f t="shared" si="2"/>
        <v>8.8830063646740606E-2</v>
      </c>
      <c r="P10" s="802"/>
      <c r="Q10" s="31">
        <f t="shared" si="3"/>
        <v>0</v>
      </c>
      <c r="R10" s="596">
        <v>-2045</v>
      </c>
      <c r="S10" s="599">
        <f t="shared" si="4"/>
        <v>17955</v>
      </c>
      <c r="T10" s="28">
        <f t="shared" si="5"/>
        <v>0</v>
      </c>
      <c r="U10" s="28">
        <f t="shared" si="6"/>
        <v>0</v>
      </c>
      <c r="V10" s="28">
        <f t="shared" si="7"/>
        <v>17955</v>
      </c>
      <c r="W10" s="31">
        <f t="shared" si="8"/>
        <v>76431</v>
      </c>
      <c r="X10" s="32">
        <f t="shared" si="9"/>
        <v>2045</v>
      </c>
      <c r="Y10" s="14" t="s">
        <v>191</v>
      </c>
      <c r="Z10" s="58">
        <f>ROUND((Z9*Z30),0)</f>
        <v>424619</v>
      </c>
      <c r="AA10" s="59">
        <f>Z10*14.65/14.73</f>
        <v>422312.8547182621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58">
        <v>18000</v>
      </c>
      <c r="I11" s="26"/>
      <c r="J11" s="26"/>
      <c r="K11" s="27">
        <f t="shared" si="0"/>
        <v>18000</v>
      </c>
      <c r="L11" s="28">
        <f t="shared" si="1"/>
        <v>56386</v>
      </c>
      <c r="M11" s="29"/>
      <c r="N11" s="799"/>
      <c r="O11" s="30">
        <f t="shared" si="2"/>
        <v>7.9947057282066539E-2</v>
      </c>
      <c r="P11" s="802"/>
      <c r="Q11" s="31">
        <f t="shared" si="3"/>
        <v>0</v>
      </c>
      <c r="R11" s="596">
        <v>-1840</v>
      </c>
      <c r="S11" s="599">
        <f t="shared" si="4"/>
        <v>16160</v>
      </c>
      <c r="T11" s="28">
        <f t="shared" si="5"/>
        <v>0</v>
      </c>
      <c r="U11" s="28">
        <f t="shared" si="6"/>
        <v>0</v>
      </c>
      <c r="V11" s="28">
        <f t="shared" si="7"/>
        <v>16160</v>
      </c>
      <c r="W11" s="31">
        <f t="shared" si="8"/>
        <v>60271</v>
      </c>
      <c r="X11" s="32">
        <f t="shared" si="9"/>
        <v>3885</v>
      </c>
      <c r="Y11" s="14" t="s">
        <v>59</v>
      </c>
      <c r="Z11" s="58">
        <v>45000</v>
      </c>
      <c r="AA11" s="59">
        <f>ROUND(Z11/Z27,0)*14.65/14.73</f>
        <v>44880.916496945014</v>
      </c>
      <c r="AB11" s="35"/>
      <c r="AC11" s="65"/>
      <c r="AD11" s="64"/>
      <c r="AE11" s="60">
        <f>AE9*57%</f>
        <v>96899.999999999985</v>
      </c>
      <c r="AF11" s="60">
        <f>AD3-AE11</f>
        <v>-96899.999999999985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58">
        <v>3600</v>
      </c>
      <c r="I12" s="558"/>
      <c r="J12" s="26"/>
      <c r="K12" s="27">
        <f t="shared" si="0"/>
        <v>3600</v>
      </c>
      <c r="L12" s="28">
        <f t="shared" si="1"/>
        <v>52786</v>
      </c>
      <c r="M12" s="29"/>
      <c r="N12" s="799"/>
      <c r="O12" s="30">
        <f t="shared" si="2"/>
        <v>1.5989411456413308E-2</v>
      </c>
      <c r="P12" s="802"/>
      <c r="Q12" s="31">
        <f t="shared" si="3"/>
        <v>0</v>
      </c>
      <c r="R12" s="596">
        <v>-368</v>
      </c>
      <c r="S12" s="597">
        <f t="shared" si="4"/>
        <v>3232</v>
      </c>
      <c r="T12" s="28">
        <f t="shared" si="5"/>
        <v>0</v>
      </c>
      <c r="U12" s="28">
        <f t="shared" si="6"/>
        <v>0</v>
      </c>
      <c r="V12" s="28">
        <f t="shared" si="7"/>
        <v>3232</v>
      </c>
      <c r="W12" s="31">
        <f t="shared" si="8"/>
        <v>57039</v>
      </c>
      <c r="X12" s="32">
        <f t="shared" si="9"/>
        <v>4253</v>
      </c>
      <c r="Y12" s="14" t="s">
        <v>64</v>
      </c>
      <c r="Z12" s="58">
        <v>15000</v>
      </c>
      <c r="AA12" s="59">
        <f>ROUND(Z12/Z28,0)*14.65/14.73</f>
        <v>14957.321792260693</v>
      </c>
      <c r="AB12" s="57">
        <f>Z12*57%</f>
        <v>8550</v>
      </c>
      <c r="AC12" s="65">
        <f>Z12*43%</f>
        <v>6450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58">
        <v>6000</v>
      </c>
      <c r="I13" s="558"/>
      <c r="J13" s="26"/>
      <c r="K13" s="27">
        <f t="shared" si="0"/>
        <v>6000</v>
      </c>
      <c r="L13" s="28">
        <f t="shared" si="1"/>
        <v>46786</v>
      </c>
      <c r="M13" s="29"/>
      <c r="N13" s="799"/>
      <c r="O13" s="30">
        <f t="shared" si="2"/>
        <v>2.6649019094022182E-2</v>
      </c>
      <c r="P13" s="802"/>
      <c r="Q13" s="31">
        <f t="shared" si="3"/>
        <v>0</v>
      </c>
      <c r="R13" s="596">
        <v>-613</v>
      </c>
      <c r="S13" s="597">
        <f t="shared" si="4"/>
        <v>5387</v>
      </c>
      <c r="T13" s="28">
        <f t="shared" si="5"/>
        <v>0</v>
      </c>
      <c r="U13" s="28">
        <f t="shared" si="6"/>
        <v>0</v>
      </c>
      <c r="V13" s="28">
        <f t="shared" si="7"/>
        <v>5387</v>
      </c>
      <c r="W13" s="31">
        <f t="shared" si="8"/>
        <v>51652</v>
      </c>
      <c r="X13" s="32">
        <f t="shared" si="9"/>
        <v>4866</v>
      </c>
      <c r="Y13" s="14" t="s">
        <v>67</v>
      </c>
      <c r="Z13" s="67">
        <f>Z14/Z30</f>
        <v>365633.23518173001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58">
        <v>16049</v>
      </c>
      <c r="I14" s="26">
        <v>0</v>
      </c>
      <c r="J14" s="26"/>
      <c r="K14" s="27">
        <f t="shared" si="0"/>
        <v>16049</v>
      </c>
      <c r="L14" s="28">
        <f t="shared" si="1"/>
        <v>30737</v>
      </c>
      <c r="M14" s="29"/>
      <c r="N14" s="799"/>
      <c r="O14" s="30">
        <f t="shared" si="2"/>
        <v>7.1281684573326995E-2</v>
      </c>
      <c r="P14" s="802"/>
      <c r="Q14" s="31">
        <f t="shared" si="3"/>
        <v>0</v>
      </c>
      <c r="R14" s="28">
        <v>-16049</v>
      </c>
      <c r="S14" s="28">
        <f t="shared" si="4"/>
        <v>0</v>
      </c>
      <c r="T14" s="28">
        <f t="shared" si="5"/>
        <v>0</v>
      </c>
      <c r="U14" s="28">
        <f t="shared" si="6"/>
        <v>0</v>
      </c>
      <c r="V14" s="28">
        <f t="shared" si="7"/>
        <v>0</v>
      </c>
      <c r="W14" s="31">
        <f t="shared" si="8"/>
        <v>51652</v>
      </c>
      <c r="X14" s="32">
        <f t="shared" si="9"/>
        <v>20915</v>
      </c>
      <c r="Y14" s="14" t="s">
        <v>70</v>
      </c>
      <c r="Z14" s="67">
        <f>+Z10-(Z11+Z12)</f>
        <v>364619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58">
        <v>17200</v>
      </c>
      <c r="I15" s="26"/>
      <c r="J15" s="26"/>
      <c r="K15" s="27">
        <f t="shared" si="0"/>
        <v>17200</v>
      </c>
      <c r="L15" s="28">
        <f t="shared" si="1"/>
        <v>13537</v>
      </c>
      <c r="M15" s="29"/>
      <c r="N15" s="799"/>
      <c r="O15" s="30">
        <f t="shared" si="2"/>
        <v>7.639385473619692E-2</v>
      </c>
      <c r="P15" s="802"/>
      <c r="Q15" s="31">
        <f t="shared" si="3"/>
        <v>0</v>
      </c>
      <c r="R15" s="28">
        <v>-17200</v>
      </c>
      <c r="S15" s="28">
        <f t="shared" si="4"/>
        <v>0</v>
      </c>
      <c r="T15" s="28">
        <f t="shared" si="5"/>
        <v>0</v>
      </c>
      <c r="U15" s="28">
        <f t="shared" si="6"/>
        <v>0</v>
      </c>
      <c r="V15" s="28">
        <f t="shared" si="7"/>
        <v>0</v>
      </c>
      <c r="W15" s="31">
        <f t="shared" si="8"/>
        <v>51652</v>
      </c>
      <c r="X15" s="32">
        <f t="shared" si="9"/>
        <v>38115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58">
        <v>20500</v>
      </c>
      <c r="I16" s="26"/>
      <c r="J16" s="26"/>
      <c r="K16" s="27">
        <f t="shared" si="0"/>
        <v>20500</v>
      </c>
      <c r="L16" s="28">
        <f t="shared" si="1"/>
        <v>-6963</v>
      </c>
      <c r="M16" s="29"/>
      <c r="N16" s="799"/>
      <c r="O16" s="30">
        <f t="shared" si="2"/>
        <v>9.1050815237909116E-2</v>
      </c>
      <c r="P16" s="802"/>
      <c r="Q16" s="31">
        <v>0</v>
      </c>
      <c r="R16" s="596">
        <v>-2096</v>
      </c>
      <c r="S16" s="599">
        <f t="shared" si="4"/>
        <v>18404</v>
      </c>
      <c r="T16" s="28">
        <f t="shared" si="5"/>
        <v>0</v>
      </c>
      <c r="U16" s="28">
        <f t="shared" si="6"/>
        <v>0</v>
      </c>
      <c r="V16" s="28">
        <f t="shared" si="7"/>
        <v>18404</v>
      </c>
      <c r="W16" s="31">
        <f t="shared" si="8"/>
        <v>33248</v>
      </c>
      <c r="X16" s="32">
        <f t="shared" si="9"/>
        <v>40211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58">
        <v>2688</v>
      </c>
      <c r="I17" s="558">
        <v>3000</v>
      </c>
      <c r="J17" s="26"/>
      <c r="K17" s="27">
        <f t="shared" si="0"/>
        <v>5688</v>
      </c>
      <c r="L17" s="28">
        <f t="shared" si="1"/>
        <v>-12651</v>
      </c>
      <c r="M17" s="29"/>
      <c r="N17" s="799"/>
      <c r="O17" s="30">
        <f t="shared" si="2"/>
        <v>2.5263270101133026E-2</v>
      </c>
      <c r="P17" s="802"/>
      <c r="Q17" s="31">
        <f t="shared" si="3"/>
        <v>0</v>
      </c>
      <c r="R17" s="28">
        <v>0</v>
      </c>
      <c r="S17" s="599">
        <f>IF(H17&lt;&gt;0,+H17+Q17+R17,0)-275</f>
        <v>2413</v>
      </c>
      <c r="T17" s="598">
        <f>IF(I17&lt;&gt;0,+I17+Q17+R17,0)-307</f>
        <v>2693</v>
      </c>
      <c r="U17" s="28">
        <f t="shared" si="6"/>
        <v>0</v>
      </c>
      <c r="V17" s="28">
        <f t="shared" si="7"/>
        <v>5106</v>
      </c>
      <c r="W17" s="31">
        <f t="shared" si="8"/>
        <v>28142</v>
      </c>
      <c r="X17" s="32">
        <f t="shared" si="9"/>
        <v>40793</v>
      </c>
      <c r="AA17" s="35"/>
      <c r="AB17" s="790">
        <f>+Z61-Z24-((Z12+Z11)*0.43)</f>
        <v>-25799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58">
        <v>312</v>
      </c>
      <c r="J18" s="26"/>
      <c r="K18" s="27">
        <f t="shared" si="0"/>
        <v>312</v>
      </c>
      <c r="L18" s="28">
        <f t="shared" si="1"/>
        <v>-12963</v>
      </c>
      <c r="M18" s="29"/>
      <c r="N18" s="799"/>
      <c r="O18" s="30"/>
      <c r="P18" s="802"/>
      <c r="Q18" s="31">
        <f t="shared" si="3"/>
        <v>0</v>
      </c>
      <c r="R18" s="28">
        <v>0</v>
      </c>
      <c r="S18" s="28">
        <f t="shared" si="4"/>
        <v>0</v>
      </c>
      <c r="T18" s="598">
        <f t="shared" si="5"/>
        <v>312</v>
      </c>
      <c r="U18" s="28">
        <f t="shared" si="6"/>
        <v>0</v>
      </c>
      <c r="V18" s="28">
        <f t="shared" si="7"/>
        <v>312</v>
      </c>
      <c r="W18" s="31">
        <f t="shared" si="8"/>
        <v>27830</v>
      </c>
      <c r="X18" s="32"/>
      <c r="Y18" s="14" t="s">
        <v>77</v>
      </c>
      <c r="Z18" s="71">
        <f>ROUND(Z14*0.43,0)</f>
        <v>156786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>
        <v>0</v>
      </c>
      <c r="I19" s="26"/>
      <c r="J19" s="26"/>
      <c r="K19" s="27">
        <f t="shared" si="0"/>
        <v>0</v>
      </c>
      <c r="L19" s="28">
        <f t="shared" si="1"/>
        <v>-12963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28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27830</v>
      </c>
      <c r="X19" s="32">
        <f t="shared" si="9"/>
        <v>40793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58">
        <v>1500</v>
      </c>
      <c r="I20" s="26">
        <v>0</v>
      </c>
      <c r="J20" s="26"/>
      <c r="K20" s="27">
        <f t="shared" si="0"/>
        <v>1500</v>
      </c>
      <c r="L20" s="28">
        <f t="shared" si="1"/>
        <v>-14463</v>
      </c>
      <c r="M20" s="29"/>
      <c r="N20" s="799"/>
      <c r="O20" s="30">
        <f t="shared" si="2"/>
        <v>6.6622547735055455E-3</v>
      </c>
      <c r="P20" s="802"/>
      <c r="Q20" s="31">
        <f t="shared" si="3"/>
        <v>0</v>
      </c>
      <c r="R20" s="596">
        <v>-153</v>
      </c>
      <c r="S20" s="599">
        <f t="shared" si="4"/>
        <v>1347</v>
      </c>
      <c r="T20" s="28">
        <f t="shared" si="5"/>
        <v>0</v>
      </c>
      <c r="U20" s="28">
        <f t="shared" si="6"/>
        <v>0</v>
      </c>
      <c r="V20" s="28">
        <f t="shared" si="7"/>
        <v>1347</v>
      </c>
      <c r="W20" s="31">
        <f t="shared" si="8"/>
        <v>26483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-14463</v>
      </c>
      <c r="M21" s="29"/>
      <c r="N21" s="799"/>
      <c r="O21" s="30"/>
      <c r="P21" s="802"/>
      <c r="Q21" s="31">
        <f t="shared" si="3"/>
        <v>0</v>
      </c>
      <c r="R21" s="28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26483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/>
      <c r="I22" s="558">
        <v>7500</v>
      </c>
      <c r="J22" s="26"/>
      <c r="K22" s="27">
        <f t="shared" si="0"/>
        <v>7500</v>
      </c>
      <c r="L22" s="28">
        <f t="shared" si="1"/>
        <v>-21963</v>
      </c>
      <c r="M22" s="29"/>
      <c r="N22" s="799"/>
      <c r="O22" s="30">
        <f t="shared" si="2"/>
        <v>3.3311273867527726E-2</v>
      </c>
      <c r="P22" s="802"/>
      <c r="Q22" s="31">
        <f t="shared" si="3"/>
        <v>0</v>
      </c>
      <c r="R22" s="596">
        <v>-767</v>
      </c>
      <c r="S22" s="28">
        <f t="shared" si="4"/>
        <v>0</v>
      </c>
      <c r="T22" s="598">
        <f t="shared" si="5"/>
        <v>6733</v>
      </c>
      <c r="U22" s="28">
        <f t="shared" si="6"/>
        <v>0</v>
      </c>
      <c r="V22" s="28">
        <f t="shared" si="7"/>
        <v>6733</v>
      </c>
      <c r="W22" s="31">
        <f t="shared" si="8"/>
        <v>19750</v>
      </c>
      <c r="X22" s="32">
        <f t="shared" si="9"/>
        <v>41713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-21963</v>
      </c>
      <c r="M23" s="29"/>
      <c r="N23" s="799"/>
      <c r="O23" s="30"/>
      <c r="P23" s="802"/>
      <c r="Q23" s="31">
        <f t="shared" si="3"/>
        <v>0</v>
      </c>
      <c r="R23" s="28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19750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-21963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28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19750</v>
      </c>
      <c r="X24" s="32">
        <f t="shared" si="9"/>
        <v>41713</v>
      </c>
      <c r="Y24" s="74" t="s">
        <v>169</v>
      </c>
      <c r="Z24" s="75">
        <f>+Z18+Z19</f>
        <v>156786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58">
        <v>12000</v>
      </c>
      <c r="I25" s="26"/>
      <c r="J25" s="26"/>
      <c r="K25" s="27">
        <f t="shared" si="0"/>
        <v>12000</v>
      </c>
      <c r="L25" s="28">
        <f t="shared" si="1"/>
        <v>-33963</v>
      </c>
      <c r="M25" s="29"/>
      <c r="N25" s="799"/>
      <c r="O25" s="30">
        <f t="shared" si="2"/>
        <v>5.3298038188044364E-2</v>
      </c>
      <c r="P25" s="802"/>
      <c r="Q25" s="31">
        <f t="shared" si="3"/>
        <v>0</v>
      </c>
      <c r="R25" s="596">
        <v>-1227</v>
      </c>
      <c r="S25" s="599">
        <f t="shared" si="4"/>
        <v>10773</v>
      </c>
      <c r="T25" s="28">
        <f t="shared" si="5"/>
        <v>0</v>
      </c>
      <c r="U25" s="28">
        <f t="shared" si="6"/>
        <v>0</v>
      </c>
      <c r="V25" s="28">
        <f t="shared" si="7"/>
        <v>10773</v>
      </c>
      <c r="W25" s="31">
        <f t="shared" ref="W25:W88" si="11">+W24-V25</f>
        <v>8977</v>
      </c>
      <c r="X25" s="32">
        <f t="shared" si="9"/>
        <v>42940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-68363</v>
      </c>
      <c r="M26" s="86"/>
      <c r="N26" s="800"/>
      <c r="O26" s="87">
        <f t="shared" si="2"/>
        <v>0.15278770947239384</v>
      </c>
      <c r="P26" s="803"/>
      <c r="Q26" s="144">
        <f t="shared" si="3"/>
        <v>0</v>
      </c>
      <c r="R26" s="28">
        <v>-34400</v>
      </c>
      <c r="S26" s="28">
        <f t="shared" si="4"/>
        <v>0</v>
      </c>
      <c r="T26" s="28">
        <f t="shared" si="5"/>
        <v>0</v>
      </c>
      <c r="U26" s="28">
        <f t="shared" si="6"/>
        <v>0</v>
      </c>
      <c r="V26" s="28">
        <f t="shared" si="7"/>
        <v>0</v>
      </c>
      <c r="W26" s="31">
        <f t="shared" si="11"/>
        <v>8977</v>
      </c>
      <c r="X26" s="32">
        <f t="shared" si="9"/>
        <v>77340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-68363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28"/>
      <c r="S27" s="28">
        <f t="shared" si="4"/>
        <v>0</v>
      </c>
      <c r="T27" s="28">
        <f t="shared" si="5"/>
        <v>0</v>
      </c>
      <c r="U27" s="28">
        <f t="shared" si="6"/>
        <v>0</v>
      </c>
      <c r="V27" s="28">
        <f t="shared" si="7"/>
        <v>0</v>
      </c>
      <c r="W27" s="31">
        <f t="shared" si="11"/>
        <v>8977</v>
      </c>
      <c r="X27" s="32">
        <f t="shared" si="9"/>
        <v>77340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-68363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28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8977</v>
      </c>
      <c r="X28" s="32">
        <f t="shared" si="9"/>
        <v>77340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-68363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28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8977</v>
      </c>
      <c r="X29" s="32">
        <f t="shared" si="9"/>
        <v>77340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-68363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28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8977</v>
      </c>
      <c r="X30" s="32">
        <f t="shared" si="9"/>
        <v>77340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-68363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28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8977</v>
      </c>
      <c r="X31" s="32">
        <f t="shared" si="9"/>
        <v>77340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-68363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28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8977</v>
      </c>
      <c r="X32" s="32">
        <f t="shared" si="9"/>
        <v>77340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-68363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28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8977</v>
      </c>
      <c r="X33" s="32">
        <f t="shared" si="9"/>
        <v>77340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-68363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28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8977</v>
      </c>
      <c r="X34" s="32">
        <f t="shared" si="9"/>
        <v>77340</v>
      </c>
      <c r="Y34" s="806"/>
      <c r="Z34" s="112">
        <v>100000</v>
      </c>
      <c r="AA34" s="113">
        <f>AD5-Z34</f>
        <v>-100000</v>
      </c>
      <c r="AB34" s="113">
        <f>Z34+AA34</f>
        <v>0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-68363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28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8977</v>
      </c>
      <c r="X35" s="32">
        <f>W35-L35</f>
        <v>77340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-68363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28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8977</v>
      </c>
      <c r="X36" s="32">
        <f t="shared" si="9"/>
        <v>77340</v>
      </c>
      <c r="Y36" s="117" t="s">
        <v>60</v>
      </c>
      <c r="Z36" s="113">
        <f>Z34*57%</f>
        <v>56999.999999999993</v>
      </c>
      <c r="AA36" s="113">
        <f>AD3-Z36</f>
        <v>-56999.999999999993</v>
      </c>
      <c r="AB36" s="113">
        <f>Z36+AA36</f>
        <v>0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-68363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28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8977</v>
      </c>
      <c r="X37" s="32">
        <f t="shared" si="9"/>
        <v>77340</v>
      </c>
      <c r="Y37" s="117" t="s">
        <v>94</v>
      </c>
      <c r="Z37" s="113">
        <f>+Z35+Z36</f>
        <v>100000</v>
      </c>
      <c r="AA37" s="113">
        <f>SUM(AA35:AA36)</f>
        <v>-100000</v>
      </c>
      <c r="AB37" s="113">
        <f>Z37+AA37</f>
        <v>0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0</v>
      </c>
      <c r="I38" s="26"/>
      <c r="J38" s="26"/>
      <c r="K38" s="27">
        <f t="shared" si="0"/>
        <v>0</v>
      </c>
      <c r="L38" s="28">
        <f>+L37-K38</f>
        <v>-68363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28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8977</v>
      </c>
      <c r="X38" s="32">
        <f t="shared" si="9"/>
        <v>77340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-68363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28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8977</v>
      </c>
      <c r="X39" s="32">
        <f t="shared" si="9"/>
        <v>77340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-68363</v>
      </c>
      <c r="M40" s="29"/>
      <c r="N40" s="799"/>
      <c r="O40" s="30"/>
      <c r="P40" s="802"/>
      <c r="Q40" s="31"/>
      <c r="R40" s="28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8977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-68363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28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8977</v>
      </c>
      <c r="X41" s="32">
        <f t="shared" si="9"/>
        <v>77340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-68363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28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8977</v>
      </c>
      <c r="X42" s="32">
        <f t="shared" si="9"/>
        <v>77340</v>
      </c>
      <c r="Y42" s="74" t="s">
        <v>96</v>
      </c>
      <c r="Z42" s="75">
        <v>35500</v>
      </c>
      <c r="AA42" s="129">
        <f>+H7+H8+H17+H18+H19+H22+H32+H33+H43+H44+H45+H53</f>
        <v>21354</v>
      </c>
      <c r="AB42" s="129">
        <f>+I7+I8+I17+I18+I19+I22+I32+I33+I43+I44+I45+I53</f>
        <v>14646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-68363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28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8977</v>
      </c>
      <c r="X43" s="32">
        <f t="shared" si="9"/>
        <v>77340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-68363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28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8977</v>
      </c>
      <c r="X44" s="32">
        <f t="shared" si="9"/>
        <v>77340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-68363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28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8977</v>
      </c>
      <c r="X45" s="32">
        <f t="shared" si="9"/>
        <v>77340</v>
      </c>
      <c r="Y45" s="131" t="s">
        <v>98</v>
      </c>
      <c r="Z45" s="132">
        <v>9600</v>
      </c>
      <c r="AA45" s="133">
        <f>+H12+H13+H37+H38</f>
        <v>9600</v>
      </c>
      <c r="AB45" s="133">
        <f>+I12+I13+I37+I38</f>
        <v>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58">
        <v>10000</v>
      </c>
      <c r="I46" s="26"/>
      <c r="J46" s="26"/>
      <c r="K46" s="27">
        <f t="shared" si="0"/>
        <v>10000</v>
      </c>
      <c r="L46" s="28">
        <f>+L45-K46</f>
        <v>-78363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596">
        <v>-1022</v>
      </c>
      <c r="S46" s="597">
        <f t="shared" si="4"/>
        <v>8978</v>
      </c>
      <c r="T46" s="28">
        <f t="shared" si="5"/>
        <v>0</v>
      </c>
      <c r="U46" s="28">
        <f t="shared" si="6"/>
        <v>0</v>
      </c>
      <c r="V46" s="28">
        <f t="shared" si="7"/>
        <v>8978</v>
      </c>
      <c r="W46" s="31">
        <f t="shared" si="11"/>
        <v>-1</v>
      </c>
      <c r="X46" s="32">
        <f t="shared" si="9"/>
        <v>78362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-78363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-1</v>
      </c>
      <c r="X47" s="32">
        <f t="shared" si="9"/>
        <v>78362</v>
      </c>
      <c r="Y47" s="57">
        <v>20000</v>
      </c>
      <c r="Z47" s="89">
        <v>4586</v>
      </c>
      <c r="AA47" s="35"/>
      <c r="AB47" s="57">
        <f>57000-AA60</f>
        <v>57000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-78363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-1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-78363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-1</v>
      </c>
      <c r="X49" s="32">
        <f t="shared" si="9"/>
        <v>78362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-78363</v>
      </c>
      <c r="M50" s="95"/>
      <c r="N50" s="804">
        <f>SUM(K50:K55)</f>
        <v>24000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-1</v>
      </c>
      <c r="X50" s="32">
        <f t="shared" si="9"/>
        <v>78362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58">
        <v>15000</v>
      </c>
      <c r="J51" s="26"/>
      <c r="K51" s="444">
        <f t="shared" si="0"/>
        <v>15000</v>
      </c>
      <c r="L51" s="28">
        <f t="shared" si="1"/>
        <v>-93363</v>
      </c>
      <c r="M51" s="234"/>
      <c r="N51" s="799"/>
      <c r="O51" s="184"/>
      <c r="P51" s="802"/>
      <c r="Q51" s="31"/>
      <c r="R51" s="31">
        <v>-15000</v>
      </c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11"/>
        <v>-1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-93363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-1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58">
        <v>2000</v>
      </c>
      <c r="I53" s="26"/>
      <c r="J53" s="26"/>
      <c r="K53" s="27">
        <f t="shared" si="0"/>
        <v>2000</v>
      </c>
      <c r="L53" s="28">
        <f>+L52-K53</f>
        <v>-95363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>
        <v>-2000</v>
      </c>
      <c r="S53" s="28">
        <f t="shared" si="4"/>
        <v>0</v>
      </c>
      <c r="T53" s="28">
        <f t="shared" si="5"/>
        <v>0</v>
      </c>
      <c r="U53" s="28">
        <f t="shared" si="6"/>
        <v>0</v>
      </c>
      <c r="V53" s="28">
        <f t="shared" si="7"/>
        <v>0</v>
      </c>
      <c r="W53" s="31">
        <f t="shared" si="11"/>
        <v>-1</v>
      </c>
      <c r="X53" s="32">
        <f t="shared" si="9"/>
        <v>95362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-95363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-1</v>
      </c>
      <c r="X54" s="32">
        <f t="shared" si="9"/>
        <v>95362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58">
        <v>7000</v>
      </c>
      <c r="J55" s="143"/>
      <c r="K55" s="27">
        <f t="shared" si="0"/>
        <v>7000</v>
      </c>
      <c r="L55" s="28">
        <f t="shared" si="1"/>
        <v>-102363</v>
      </c>
      <c r="M55" s="86"/>
      <c r="N55" s="800"/>
      <c r="O55" s="87">
        <f t="shared" si="12"/>
        <v>0.7</v>
      </c>
      <c r="P55" s="803"/>
      <c r="Q55" s="97">
        <f t="shared" si="13"/>
        <v>0</v>
      </c>
      <c r="R55" s="31">
        <v>-7000</v>
      </c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31">
        <f t="shared" si="11"/>
        <v>-1</v>
      </c>
      <c r="X55" s="119">
        <f t="shared" si="9"/>
        <v>102362</v>
      </c>
      <c r="Y55" s="807">
        <f>Z8</f>
        <v>41919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-102363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-1</v>
      </c>
      <c r="X56" s="119">
        <f t="shared" si="9"/>
        <v>102362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-102363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-1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-102363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-1</v>
      </c>
      <c r="X58" s="408"/>
      <c r="Y58" s="180" t="s">
        <v>7</v>
      </c>
      <c r="Z58" s="181">
        <f>+AB4</f>
        <v>39324</v>
      </c>
      <c r="AA58" s="182">
        <f>+AB3</f>
        <v>0</v>
      </c>
      <c r="AB58" s="182">
        <f>Z12</f>
        <v>15000</v>
      </c>
      <c r="AC58" s="181">
        <f>AB10</f>
        <v>0</v>
      </c>
      <c r="AD58" s="183">
        <f>SUM(Z58:AC58)</f>
        <v>54324</v>
      </c>
      <c r="AE58" s="185">
        <v>90000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-102363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-1</v>
      </c>
      <c r="X59" s="408"/>
      <c r="Y59" s="180" t="s">
        <v>17</v>
      </c>
      <c r="Z59" s="182">
        <f>+AC4</f>
        <v>117463</v>
      </c>
      <c r="AA59" s="182">
        <f>AC3</f>
        <v>0</v>
      </c>
      <c r="AB59" s="182">
        <f>Z11</f>
        <v>45000</v>
      </c>
      <c r="AC59" s="181">
        <v>0</v>
      </c>
      <c r="AD59" s="183">
        <f>SUM(Z59:AC59)</f>
        <v>162463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106495.33333333331</v>
      </c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-102363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-1</v>
      </c>
      <c r="X60" s="408"/>
      <c r="Y60" s="180" t="s">
        <v>112</v>
      </c>
      <c r="Z60" s="181">
        <f>+AD4+AH11</f>
        <v>0</v>
      </c>
      <c r="AA60" s="182">
        <f>+AD3+AH10</f>
        <v>0</v>
      </c>
      <c r="AB60" s="191">
        <v>0</v>
      </c>
      <c r="AC60" s="181">
        <v>0</v>
      </c>
      <c r="AD60" s="183">
        <f>SUM(Z60:AC60)</f>
        <v>0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-102363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-1</v>
      </c>
      <c r="X61" s="408"/>
      <c r="Y61" s="193" t="s">
        <v>113</v>
      </c>
      <c r="Z61" s="194">
        <f>SUM(Z58:Z60)</f>
        <v>156787</v>
      </c>
      <c r="AA61" s="194">
        <f>SUM(AA58:AA60)</f>
        <v>0</v>
      </c>
      <c r="AB61" s="194">
        <f>SUM(AB58:AB60)</f>
        <v>60000</v>
      </c>
      <c r="AC61" s="194">
        <f>AB10</f>
        <v>0</v>
      </c>
      <c r="AD61" s="195">
        <f>SUM(AD58:AD60)</f>
        <v>216787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-102363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-1</v>
      </c>
      <c r="X62" s="408"/>
      <c r="Y62" s="199" t="s">
        <v>114</v>
      </c>
      <c r="Z62" s="200">
        <f>(Z58/$Z$28+(Z59/$Z$27)+(Z60/$Z$29))</f>
        <v>157217.6017796931</v>
      </c>
      <c r="AA62" s="200">
        <f>(AA58/$Z$28+(AA59/$Z$27)+(AA60/$Z$29))</f>
        <v>0</v>
      </c>
      <c r="AB62" s="200">
        <f>(AB58/$Z$28)+(AB59/$Z$27)</f>
        <v>60164.795198097854</v>
      </c>
      <c r="AC62" s="200">
        <f>AB9</f>
        <v>0</v>
      </c>
      <c r="AD62" s="201">
        <f>(AD58/$Z$28+(AD59/$Z$27)+(AD60/$Z$29))</f>
        <v>217382.39697779095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-102363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-1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-102363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-1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-102363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-1</v>
      </c>
      <c r="X65" s="408"/>
      <c r="Y65" s="371" t="s">
        <v>115</v>
      </c>
      <c r="Z65" s="484"/>
      <c r="AA65" s="203">
        <v>104852.31025000001</v>
      </c>
      <c r="AB65" s="204"/>
      <c r="AC65" s="204"/>
      <c r="AD65" s="205"/>
      <c r="AE65" s="32">
        <v>108797.23749999999</v>
      </c>
      <c r="AF65" s="53">
        <f>+AA65-AE65</f>
        <v>-3944.9272499999788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-102363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-1</v>
      </c>
      <c r="X66" s="408"/>
      <c r="Y66" s="814" t="s">
        <v>116</v>
      </c>
      <c r="Z66" s="815"/>
      <c r="AA66" s="203">
        <v>99422.821960000001</v>
      </c>
      <c r="AB66" s="208"/>
      <c r="AC66" s="208"/>
      <c r="AD66" s="209"/>
      <c r="AE66" s="13">
        <v>52014.378240000005</v>
      </c>
      <c r="AF66" s="53">
        <f>+AA66-AE66</f>
        <v>47408.443719999996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-102363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-1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-102363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-1</v>
      </c>
      <c r="X68" s="211"/>
      <c r="Y68" s="814" t="s">
        <v>188</v>
      </c>
      <c r="Z68" s="815"/>
      <c r="AA68" s="207">
        <f>Z9*Z30+AC61</f>
        <v>424618.86738177401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-102363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-1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-102363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-1</v>
      </c>
      <c r="X70" s="211"/>
      <c r="Y70" s="213"/>
      <c r="Z70" s="232">
        <f>+Z61-2200</f>
        <v>154587</v>
      </c>
      <c r="AA70" s="213"/>
      <c r="AB70" s="213"/>
      <c r="AC70" s="213"/>
      <c r="AD70" s="233">
        <v>491197</v>
      </c>
      <c r="AE70" s="233">
        <f>+AD70-(Z61+AA61)</f>
        <v>334410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-102363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-1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-102363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-1</v>
      </c>
      <c r="X72" s="211"/>
      <c r="Y72" s="214" t="s">
        <v>47</v>
      </c>
      <c r="Z72" s="215">
        <f>Z8</f>
        <v>41919</v>
      </c>
      <c r="AA72" s="818" t="s">
        <v>118</v>
      </c>
      <c r="AB72" s="818"/>
      <c r="AC72" s="818"/>
      <c r="AD72" s="216">
        <v>9.25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14.75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-102363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-1</v>
      </c>
      <c r="X73" s="211"/>
      <c r="Y73" s="214" t="s">
        <v>119</v>
      </c>
      <c r="Z73" s="480">
        <f>AD72</f>
        <v>9.25</v>
      </c>
      <c r="AA73" s="584" t="s">
        <v>120</v>
      </c>
      <c r="AB73" s="584"/>
      <c r="AC73" s="584"/>
      <c r="AD73" s="219">
        <f>24-AD72</f>
        <v>14.75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34983.050847457627</v>
      </c>
      <c r="AO73" s="373">
        <f>AN73*AM72/24</f>
        <v>21500</v>
      </c>
      <c r="AP73" s="19">
        <f>21500*AD72/24</f>
        <v>8286.4583333333339</v>
      </c>
      <c r="AQ73" s="19">
        <f>21500-AP73</f>
        <v>13213.541666666666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-102363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-1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583" t="s">
        <v>127</v>
      </c>
      <c r="AK74" s="819"/>
      <c r="AL74" s="819"/>
      <c r="AM74" s="20" t="s">
        <v>232</v>
      </c>
      <c r="AN74" s="19">
        <f>Z79-AN73</f>
        <v>224880.61581920905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-102363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-1</v>
      </c>
      <c r="X75" s="211"/>
      <c r="Y75" s="583" t="s">
        <v>121</v>
      </c>
      <c r="Z75" s="583" t="s">
        <v>122</v>
      </c>
      <c r="AA75" s="583" t="s">
        <v>123</v>
      </c>
      <c r="AB75" s="820" t="s">
        <v>124</v>
      </c>
      <c r="AC75" s="821"/>
      <c r="AD75" s="822"/>
      <c r="AE75" s="583" t="s">
        <v>125</v>
      </c>
      <c r="AF75" s="583" t="s">
        <v>126</v>
      </c>
      <c r="AG75" s="149"/>
      <c r="AH75" s="583" t="s">
        <v>121</v>
      </c>
      <c r="AI75" s="583"/>
      <c r="AJ75" s="214" t="s">
        <v>7</v>
      </c>
      <c r="AK75" s="236">
        <f>((+AD78-AA78)/$AD$73)*24</f>
        <v>88391.593220338982</v>
      </c>
      <c r="AL75" s="236">
        <f>AK75</f>
        <v>88391.593220338982</v>
      </c>
      <c r="AM75" s="20" t="s">
        <v>7</v>
      </c>
      <c r="AN75" s="19">
        <f>AD58</f>
        <v>54324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-102363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-1</v>
      </c>
      <c r="X76" s="211"/>
      <c r="Y76" s="583"/>
      <c r="Z76" s="583"/>
      <c r="AA76" s="583"/>
      <c r="AB76" s="583"/>
      <c r="AC76" s="583"/>
      <c r="AD76" s="583"/>
      <c r="AE76" s="583"/>
      <c r="AF76" s="583"/>
      <c r="AG76" s="149"/>
      <c r="AH76" s="583"/>
      <c r="AI76" s="583"/>
      <c r="AJ76" s="214" t="s">
        <v>6</v>
      </c>
      <c r="AK76" s="236">
        <f>((+AD79-AA79)/$AD$73)*24</f>
        <v>264346.57627118647</v>
      </c>
      <c r="AL76" s="236">
        <f>+AK76</f>
        <v>264346.57627118647</v>
      </c>
      <c r="AM76" s="464"/>
      <c r="AN76" s="19">
        <f>SUM(AN73:AN75)</f>
        <v>314187.66666666669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-102363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-1</v>
      </c>
      <c r="X77" s="211"/>
      <c r="Y77" s="583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583"/>
      <c r="AI77" s="78"/>
      <c r="AJ77" s="214" t="s">
        <v>8</v>
      </c>
      <c r="AK77" s="236">
        <f>((+AD80-AA80)/$AD$73)*24</f>
        <v>0</v>
      </c>
      <c r="AL77" s="236">
        <f>AK77</f>
        <v>0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-102363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-1</v>
      </c>
      <c r="X78" s="211"/>
      <c r="Y78" s="214" t="s">
        <v>7</v>
      </c>
      <c r="Z78" s="224">
        <v>116724.04166666666</v>
      </c>
      <c r="AA78" s="225">
        <v>0</v>
      </c>
      <c r="AB78" s="226">
        <f t="shared" ref="AB78:AC80" si="22">+Z58</f>
        <v>39324</v>
      </c>
      <c r="AC78" s="226">
        <f t="shared" si="22"/>
        <v>0</v>
      </c>
      <c r="AD78" s="226">
        <f>+AB78+AC78+AB58+AC58</f>
        <v>54324</v>
      </c>
      <c r="AE78" s="519">
        <f>+((AD58/24)*$AD$73)+AA78</f>
        <v>33386.625</v>
      </c>
      <c r="AF78" s="227">
        <f>+AE78-AD78</f>
        <v>-20937.375</v>
      </c>
      <c r="AG78" s="212"/>
      <c r="AH78" s="214" t="s">
        <v>7</v>
      </c>
      <c r="AI78" s="446">
        <f>+AA78</f>
        <v>0</v>
      </c>
      <c r="AK78" s="231">
        <f>+SUM(AK75:AK77)</f>
        <v>352738.16949152545</v>
      </c>
      <c r="AL78" s="231">
        <f>+SUM(AL75:AL77)</f>
        <v>352738.16949152545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-102363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-1</v>
      </c>
      <c r="X79" s="211"/>
      <c r="Y79" s="214" t="s">
        <v>6</v>
      </c>
      <c r="Z79" s="224">
        <v>259863.66666666669</v>
      </c>
      <c r="AA79" s="225">
        <f>0+0</f>
        <v>0</v>
      </c>
      <c r="AB79" s="226">
        <f t="shared" si="22"/>
        <v>117463</v>
      </c>
      <c r="AC79" s="226">
        <f t="shared" si="22"/>
        <v>0</v>
      </c>
      <c r="AD79" s="226">
        <f>+AB79+AC79+AB59</f>
        <v>162463</v>
      </c>
      <c r="AE79" s="519">
        <f>+((AD59/24)*$AD$73)+AA79</f>
        <v>99847.052083333343</v>
      </c>
      <c r="AF79" s="227">
        <f>+AE79-AD79</f>
        <v>-62615.947916666657</v>
      </c>
      <c r="AG79" s="212"/>
      <c r="AH79" s="214" t="s">
        <v>6</v>
      </c>
      <c r="AI79" s="446">
        <f>+AA79</f>
        <v>0</v>
      </c>
      <c r="AJ79" s="53"/>
      <c r="AK79" s="481">
        <v>536741</v>
      </c>
      <c r="AL79" s="481">
        <f>AK79-AK78</f>
        <v>184002.83050847455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-102363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-1</v>
      </c>
      <c r="X80" s="211"/>
      <c r="Y80" s="214" t="s">
        <v>8</v>
      </c>
      <c r="Z80" s="224">
        <v>0</v>
      </c>
      <c r="AA80" s="225">
        <v>0</v>
      </c>
      <c r="AB80" s="226">
        <f t="shared" si="22"/>
        <v>0</v>
      </c>
      <c r="AC80" s="226">
        <f t="shared" si="22"/>
        <v>0</v>
      </c>
      <c r="AD80" s="226">
        <f>+AB80+AC80</f>
        <v>0</v>
      </c>
      <c r="AE80" s="519">
        <f>+((AD60/24)*$AD$73)+AA80</f>
        <v>0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-102363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-1</v>
      </c>
      <c r="X81" s="211"/>
      <c r="Y81" s="228" t="s">
        <v>130</v>
      </c>
      <c r="Z81" s="229">
        <f t="shared" ref="Z81:AE81" si="23">SUM(Z78:Z80)</f>
        <v>376587.70833333337</v>
      </c>
      <c r="AA81" s="230">
        <f t="shared" si="23"/>
        <v>0</v>
      </c>
      <c r="AB81" s="229">
        <f t="shared" si="23"/>
        <v>156787</v>
      </c>
      <c r="AC81" s="229">
        <f t="shared" si="23"/>
        <v>0</v>
      </c>
      <c r="AD81" s="229">
        <f t="shared" si="23"/>
        <v>216787</v>
      </c>
      <c r="AE81" s="229">
        <f t="shared" si="23"/>
        <v>133233.67708333334</v>
      </c>
      <c r="AF81" s="227">
        <f>+SUM(AF78:AF80)</f>
        <v>-83553.322916666657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-102363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-1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-102363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-1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-102363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-1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-102363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-1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-102363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-1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-102363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-1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-102363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-1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-102363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-1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-102363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-1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-102363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-1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-102363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-1</v>
      </c>
      <c r="Y92" s="882" t="s">
        <v>158</v>
      </c>
      <c r="Z92" s="586" t="s">
        <v>283</v>
      </c>
      <c r="AA92" s="587">
        <f>SUMIF($D$2:$D$57,"domiciliario",$I$2:$I$103)</f>
        <v>29586</v>
      </c>
      <c r="AB92" s="587">
        <f>SUMIF($D$2:$D$57,"domiciliario",$T$2:$T$103)</f>
        <v>29586</v>
      </c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-102363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-1</v>
      </c>
      <c r="Y93" s="883"/>
      <c r="Z93" s="588" t="s">
        <v>284</v>
      </c>
      <c r="AA93" s="589">
        <f>SUMIF($D$2:$D$57,"industrial",$I$2:$I$103)</f>
        <v>0</v>
      </c>
      <c r="AB93" s="589">
        <f>SUMIF($D$2:$D$57,"industrial",$T$2:$T$103)</f>
        <v>0</v>
      </c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-102363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-1</v>
      </c>
      <c r="Y94" s="883"/>
      <c r="Z94" s="588" t="s">
        <v>80</v>
      </c>
      <c r="AA94" s="589">
        <f>SUMIF($D$2:$D$57,"gnv",$I$2:$I$103)</f>
        <v>312</v>
      </c>
      <c r="AB94" s="589">
        <f>SUMIF($D$2:$D$57,"gnv",$T$2:$T$103)</f>
        <v>312</v>
      </c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-102363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-1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32500</v>
      </c>
      <c r="AB95" s="589">
        <f>SUMIF($D$2:$D$57,"termico",$T$2:$T$103)+SUMIF($D$2:$D$57,"electrico",$T$2:$T$103)+SUMIF($D$2:$D$57,"térmico",$T$2:$T$103)</f>
        <v>9426</v>
      </c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-102363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-1</v>
      </c>
      <c r="Y96" s="884"/>
      <c r="Z96" s="590" t="s">
        <v>286</v>
      </c>
      <c r="AA96" s="591"/>
      <c r="AB96" s="591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-102363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-1</v>
      </c>
      <c r="Y97" s="825" t="s">
        <v>154</v>
      </c>
      <c r="Z97" s="489" t="s">
        <v>283</v>
      </c>
      <c r="AA97" s="490">
        <f>SUMIF($D$2:$D$57,"domiciliario",$H$2:$H$103)</f>
        <v>32814</v>
      </c>
      <c r="AB97" s="490">
        <f>SUMIF($D$2:$D$57,"domiciliario",$S$2:$S$103)</f>
        <v>32814</v>
      </c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-102363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-1</v>
      </c>
      <c r="Y98" s="826"/>
      <c r="Z98" s="492" t="s">
        <v>284</v>
      </c>
      <c r="AA98" s="493">
        <f>SUMIF($D$2:$D$57,"industrial",$H$2:$H$103)</f>
        <v>34000</v>
      </c>
      <c r="AB98" s="493">
        <f>SUMIF($D$2:$D$57,"industrial",$S$2:$S$103)</f>
        <v>28729</v>
      </c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-102363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-1</v>
      </c>
      <c r="Y99" s="826"/>
      <c r="Z99" s="492" t="s">
        <v>80</v>
      </c>
      <c r="AA99" s="493">
        <f>SUMIF($D$2:$D$57,"gnv",$H$2:$H$103)</f>
        <v>0</v>
      </c>
      <c r="AB99" s="493">
        <f>SUMIF($D$2:$D$57,"gnv",$S$2:$S$103)</f>
        <v>0</v>
      </c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-102363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-1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95537</v>
      </c>
      <c r="AB100" s="493">
        <f>SUMIF($D$2:$D$57,"termico",$S$2:$S$103)+SUMIF($D$2:$D$57,"electrico",$S$2:$S$103)+SUMIF($D$2:$D$57,"térmico",$S$2:$S$103)</f>
        <v>55920</v>
      </c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-102363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-1</v>
      </c>
      <c r="Y101" s="827"/>
      <c r="Z101" s="5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-102363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-1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-102363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-1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customHeight="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162351</v>
      </c>
      <c r="I105" s="252">
        <f>+SUM(I2:I103)</f>
        <v>62398</v>
      </c>
      <c r="J105" s="252">
        <f>+SUM(J2:J103)</f>
        <v>34400</v>
      </c>
      <c r="K105" s="252">
        <f>SUM(K2:K103)</f>
        <v>259149</v>
      </c>
      <c r="L105" s="253">
        <f>+L103</f>
        <v>-102363</v>
      </c>
      <c r="M105" s="252">
        <f>SUM(M2:M103)</f>
        <v>0</v>
      </c>
      <c r="N105" s="252">
        <f>SUM(N2:N103)</f>
        <v>259149</v>
      </c>
      <c r="O105" s="252"/>
      <c r="P105" s="252">
        <f>SUM(P2:P103)</f>
        <v>0</v>
      </c>
      <c r="Q105" s="252">
        <f>SUM(Q2:Q103)</f>
        <v>0</v>
      </c>
      <c r="R105" s="252">
        <f>SUM(R2:R103)</f>
        <v>-101780</v>
      </c>
      <c r="S105" s="252">
        <f>SUM(S2:S103)</f>
        <v>117463</v>
      </c>
      <c r="T105" s="252">
        <f>+SUM(T2:T103)</f>
        <v>39324</v>
      </c>
      <c r="U105" s="252">
        <f>SUM(U2:U103)</f>
        <v>0</v>
      </c>
      <c r="V105" s="252">
        <f>SUM(V2:V103)</f>
        <v>156787</v>
      </c>
      <c r="W105" s="254">
        <f>+W103</f>
        <v>-1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>
        <f>J93-8783</f>
        <v>-8783</v>
      </c>
      <c r="S106" s="119"/>
      <c r="W106" s="119"/>
      <c r="Y106" s="830"/>
      <c r="Z106" s="5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575" t="s">
        <v>304</v>
      </c>
      <c r="I107" s="575" t="s">
        <v>150</v>
      </c>
      <c r="J107" s="575" t="s">
        <v>306</v>
      </c>
      <c r="K107" s="576" t="s">
        <v>307</v>
      </c>
      <c r="L107" s="287" t="s">
        <v>308</v>
      </c>
      <c r="M107" s="259"/>
      <c r="N107" s="259"/>
      <c r="O107" s="259"/>
      <c r="P107" s="259"/>
      <c r="Q107" s="116"/>
      <c r="R107" s="116"/>
      <c r="S107" s="119">
        <v>101196</v>
      </c>
      <c r="T107" s="119">
        <v>38277</v>
      </c>
      <c r="U107" s="116"/>
      <c r="V107" s="119"/>
      <c r="W107" s="119"/>
      <c r="Y107" s="502" t="s">
        <v>289</v>
      </c>
      <c r="Z107" s="503" t="s">
        <v>289</v>
      </c>
      <c r="AA107" s="504">
        <f>SUMIF($D$2:$D$57,"EXPORTACION",$J$2:$J$103)</f>
        <v>34400</v>
      </c>
      <c r="AB107" s="505">
        <f>SUMIF($D$2:$D$57,"EXPORTACION",$U$2:$U$103)</f>
        <v>0</v>
      </c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 t="s">
        <v>193</v>
      </c>
      <c r="I108" s="257">
        <v>15000</v>
      </c>
      <c r="J108" s="574">
        <f>I108/$I$111</f>
        <v>0.46875</v>
      </c>
      <c r="K108" s="119">
        <f>$W$50*J108</f>
        <v>-0.46875</v>
      </c>
      <c r="L108" s="119">
        <f>I108-K108</f>
        <v>15000.46875</v>
      </c>
      <c r="M108" s="259"/>
      <c r="N108" s="259"/>
      <c r="O108" s="259"/>
      <c r="P108" s="259"/>
      <c r="Q108" s="116"/>
      <c r="R108" s="116"/>
      <c r="S108" s="119"/>
      <c r="T108" s="116"/>
      <c r="U108" s="116"/>
      <c r="V108" s="121"/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 t="s">
        <v>239</v>
      </c>
      <c r="I109" s="257">
        <v>15000</v>
      </c>
      <c r="J109" s="574">
        <f>I109/$I$111</f>
        <v>0.46875</v>
      </c>
      <c r="K109" s="119">
        <f>$W$50*J109</f>
        <v>-0.46875</v>
      </c>
      <c r="L109" s="119">
        <f>I109-K109</f>
        <v>15000.46875</v>
      </c>
      <c r="M109" s="259"/>
      <c r="N109" s="259"/>
      <c r="O109" s="259"/>
      <c r="P109" s="259"/>
      <c r="Q109" s="116"/>
      <c r="R109" s="116"/>
      <c r="S109" s="119">
        <f>S105-S107</f>
        <v>16267</v>
      </c>
      <c r="T109" s="119">
        <f>T105-T107</f>
        <v>1047</v>
      </c>
      <c r="U109" s="116"/>
      <c r="V109" s="119"/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 t="s">
        <v>305</v>
      </c>
      <c r="I110" s="260">
        <v>2000</v>
      </c>
      <c r="J110" s="574">
        <f>I110/$I$111</f>
        <v>6.25E-2</v>
      </c>
      <c r="K110" s="119">
        <f>$W$50*J110</f>
        <v>-6.25E-2</v>
      </c>
      <c r="L110" s="119">
        <f>I110-K110</f>
        <v>2000.0625</v>
      </c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573" t="s">
        <v>9</v>
      </c>
      <c r="I111" s="572">
        <f>SUM(I108:I110)</f>
        <v>32000</v>
      </c>
      <c r="J111" s="574">
        <f>SUM(J108:J110)</f>
        <v>1</v>
      </c>
      <c r="K111" s="265">
        <f>SUM(K108:K110)</f>
        <v>-1</v>
      </c>
      <c r="L111" s="265">
        <f>SUM(L108:L110)</f>
        <v>32001</v>
      </c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customHeight="1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115283</v>
      </c>
      <c r="J115" s="274">
        <f>SUM(H2:H5)+H14+SUM(H30:H32)+H35+18820</f>
        <v>37869</v>
      </c>
      <c r="K115" s="845">
        <f t="shared" ref="K115:K123" si="28">I115-J115</f>
        <v>77414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2000</v>
      </c>
      <c r="J116" s="275">
        <f>I116+0</f>
        <v>2000</v>
      </c>
      <c r="K116" s="839">
        <f t="shared" si="28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116013</v>
      </c>
      <c r="J117" s="275">
        <f>I117</f>
        <v>116013</v>
      </c>
      <c r="K117" s="839">
        <f t="shared" si="28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28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28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82709</v>
      </c>
      <c r="J120" s="275">
        <f>I120</f>
        <v>82709</v>
      </c>
      <c r="K120" s="839">
        <f t="shared" si="28"/>
        <v>0</v>
      </c>
      <c r="L120" s="840"/>
      <c r="AJ120" s="109" t="s">
        <v>155</v>
      </c>
      <c r="AK120" s="236">
        <v>169523</v>
      </c>
    </row>
    <row r="121" spans="1:40" ht="12.75" customHeight="1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7109</v>
      </c>
      <c r="J121" s="275">
        <f>I121+0</f>
        <v>7109</v>
      </c>
      <c r="K121" s="839">
        <f t="shared" si="28"/>
        <v>0</v>
      </c>
      <c r="L121" s="840"/>
      <c r="AJ121" s="354" t="s">
        <v>135</v>
      </c>
      <c r="AK121" s="355">
        <v>173236</v>
      </c>
    </row>
    <row r="122" spans="1:40" ht="12.75" customHeight="1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15191</v>
      </c>
      <c r="J122" s="277">
        <f>SUM(I15:I24)+SUM(I38:I43)+4379</f>
        <v>15191</v>
      </c>
      <c r="K122" s="839">
        <f t="shared" si="28"/>
        <v>0</v>
      </c>
      <c r="L122" s="840"/>
      <c r="M122" s="50"/>
      <c r="N122" s="50"/>
      <c r="O122" s="50"/>
      <c r="P122" s="50"/>
      <c r="AJ122" s="109"/>
      <c r="AK122" s="236"/>
    </row>
    <row r="123" spans="1:40" ht="12.75" customHeight="1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28"/>
        <v>0</v>
      </c>
      <c r="L123" s="840"/>
      <c r="AJ123" s="354"/>
      <c r="AK123" s="355"/>
    </row>
    <row r="124" spans="1:40" ht="13.5" customHeight="1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customHeight="1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customHeight="1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customHeight="1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ht="12.75" customHeight="1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ht="12.75" customHeight="1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29">I129-J129</f>
        <v>0</v>
      </c>
      <c r="L129" s="854"/>
    </row>
    <row r="130" spans="1:26" ht="12.75" customHeight="1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29"/>
        <v>1728</v>
      </c>
      <c r="L130" s="854"/>
    </row>
    <row r="131" spans="1:26" ht="12.75" customHeight="1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29"/>
        <v>0</v>
      </c>
      <c r="L131" s="854"/>
    </row>
    <row r="132" spans="1:26" ht="12.75" customHeight="1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29"/>
        <v>6594</v>
      </c>
      <c r="L132" s="854"/>
    </row>
    <row r="133" spans="1:26" ht="12.75" customHeight="1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29"/>
        <v>0</v>
      </c>
      <c r="L133" s="854"/>
    </row>
    <row r="134" spans="1:26" ht="12.75" customHeight="1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29"/>
        <v>0</v>
      </c>
      <c r="L134" s="854"/>
    </row>
    <row r="135" spans="1:26" ht="12.75" customHeight="1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29"/>
        <v>0</v>
      </c>
      <c r="L135" s="854"/>
    </row>
    <row r="136" spans="1:26" ht="12.75" customHeight="1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29"/>
        <v>0</v>
      </c>
      <c r="L136" s="854"/>
    </row>
    <row r="137" spans="1:26" ht="13.5" customHeight="1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29"/>
        <v>262</v>
      </c>
      <c r="L137" s="854"/>
      <c r="X137" s="20"/>
      <c r="Z137" s="20"/>
    </row>
    <row r="138" spans="1:26" ht="15.75" customHeight="1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customHeight="1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customHeight="1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ht="12.75" customHeight="1" x14ac:dyDescent="0.2">
      <c r="G141" s="864" t="s">
        <v>154</v>
      </c>
      <c r="H141" s="295" t="s">
        <v>28</v>
      </c>
      <c r="I141" s="296">
        <f t="shared" ref="I141:K151" si="30">I115+I128</f>
        <v>115283</v>
      </c>
      <c r="J141" s="296">
        <f t="shared" si="30"/>
        <v>37869</v>
      </c>
      <c r="K141" s="867">
        <f t="shared" si="30"/>
        <v>77414</v>
      </c>
      <c r="L141" s="868"/>
      <c r="X141" s="20"/>
      <c r="Z141" s="20"/>
    </row>
    <row r="142" spans="1:26" ht="12.75" customHeight="1" x14ac:dyDescent="0.2">
      <c r="C142" s="20"/>
      <c r="F142" s="20"/>
      <c r="G142" s="865"/>
      <c r="H142" s="297" t="s">
        <v>80</v>
      </c>
      <c r="I142" s="298">
        <f t="shared" si="30"/>
        <v>2000</v>
      </c>
      <c r="J142" s="298">
        <f t="shared" si="30"/>
        <v>2000</v>
      </c>
      <c r="K142" s="869">
        <f t="shared" si="30"/>
        <v>0</v>
      </c>
      <c r="L142" s="870"/>
      <c r="X142" s="20"/>
      <c r="Z142" s="20"/>
    </row>
    <row r="143" spans="1:26" ht="12.75" customHeight="1" x14ac:dyDescent="0.2">
      <c r="G143" s="865"/>
      <c r="H143" s="297" t="s">
        <v>61</v>
      </c>
      <c r="I143" s="298">
        <f t="shared" si="30"/>
        <v>117741</v>
      </c>
      <c r="J143" s="298">
        <f t="shared" si="30"/>
        <v>116013</v>
      </c>
      <c r="K143" s="869">
        <f t="shared" si="30"/>
        <v>1728</v>
      </c>
      <c r="L143" s="870"/>
      <c r="X143" s="20"/>
      <c r="Z143" s="20"/>
    </row>
    <row r="144" spans="1:26" ht="12.75" customHeight="1" x14ac:dyDescent="0.2">
      <c r="G144" s="865"/>
      <c r="H144" s="297" t="s">
        <v>156</v>
      </c>
      <c r="I144" s="298">
        <f t="shared" si="30"/>
        <v>14000</v>
      </c>
      <c r="J144" s="298">
        <f t="shared" si="30"/>
        <v>14000</v>
      </c>
      <c r="K144" s="869">
        <f t="shared" si="30"/>
        <v>0</v>
      </c>
      <c r="L144" s="870"/>
      <c r="X144" s="20"/>
      <c r="Z144" s="20"/>
    </row>
    <row r="145" spans="3:26" ht="13.5" customHeight="1" thickBot="1" x14ac:dyDescent="0.25">
      <c r="G145" s="866"/>
      <c r="H145" s="299" t="s">
        <v>157</v>
      </c>
      <c r="I145" s="300">
        <f t="shared" si="30"/>
        <v>67705</v>
      </c>
      <c r="J145" s="300">
        <f t="shared" si="30"/>
        <v>61111</v>
      </c>
      <c r="K145" s="871">
        <f t="shared" si="30"/>
        <v>6594</v>
      </c>
      <c r="L145" s="872"/>
      <c r="X145" s="20"/>
      <c r="Z145" s="20"/>
    </row>
    <row r="146" spans="3:26" ht="12.75" customHeight="1" x14ac:dyDescent="0.2">
      <c r="G146" s="879" t="s">
        <v>158</v>
      </c>
      <c r="H146" s="295" t="s">
        <v>28</v>
      </c>
      <c r="I146" s="296">
        <f t="shared" si="30"/>
        <v>82724</v>
      </c>
      <c r="J146" s="296">
        <f t="shared" si="30"/>
        <v>82724</v>
      </c>
      <c r="K146" s="867">
        <f t="shared" si="30"/>
        <v>0</v>
      </c>
      <c r="L146" s="868"/>
      <c r="X146" s="20"/>
      <c r="Z146" s="20"/>
    </row>
    <row r="147" spans="3:26" ht="12.75" customHeight="1" x14ac:dyDescent="0.2">
      <c r="G147" s="880"/>
      <c r="H147" s="297" t="s">
        <v>80</v>
      </c>
      <c r="I147" s="301">
        <f t="shared" si="30"/>
        <v>7109</v>
      </c>
      <c r="J147" s="301">
        <f t="shared" si="30"/>
        <v>7109</v>
      </c>
      <c r="K147" s="869">
        <f t="shared" si="30"/>
        <v>0</v>
      </c>
      <c r="L147" s="870"/>
      <c r="X147" s="20"/>
      <c r="Z147" s="20"/>
    </row>
    <row r="148" spans="3:26" ht="12.75" customHeight="1" x14ac:dyDescent="0.2">
      <c r="G148" s="880"/>
      <c r="H148" s="297" t="s">
        <v>61</v>
      </c>
      <c r="I148" s="301">
        <f t="shared" si="30"/>
        <v>15191</v>
      </c>
      <c r="J148" s="301">
        <f t="shared" si="30"/>
        <v>15191</v>
      </c>
      <c r="K148" s="869">
        <f t="shared" si="30"/>
        <v>0</v>
      </c>
      <c r="L148" s="870"/>
      <c r="X148" s="20"/>
      <c r="Z148" s="20"/>
    </row>
    <row r="149" spans="3:26" ht="12.75" customHeight="1" x14ac:dyDescent="0.2">
      <c r="G149" s="880"/>
      <c r="H149" s="297" t="s">
        <v>156</v>
      </c>
      <c r="I149" s="301">
        <f t="shared" si="30"/>
        <v>38756</v>
      </c>
      <c r="J149" s="301">
        <f t="shared" si="30"/>
        <v>38756</v>
      </c>
      <c r="K149" s="869">
        <f t="shared" si="30"/>
        <v>0</v>
      </c>
      <c r="L149" s="870"/>
      <c r="X149" s="20"/>
      <c r="Z149" s="20"/>
    </row>
    <row r="150" spans="3:26" ht="13.5" customHeight="1" thickBot="1" x14ac:dyDescent="0.25">
      <c r="G150" s="881"/>
      <c r="H150" s="299" t="s">
        <v>157</v>
      </c>
      <c r="I150" s="302">
        <f t="shared" si="30"/>
        <v>1700</v>
      </c>
      <c r="J150" s="302">
        <f t="shared" si="30"/>
        <v>1438</v>
      </c>
      <c r="K150" s="871">
        <f t="shared" si="30"/>
        <v>262</v>
      </c>
      <c r="L150" s="872"/>
      <c r="X150" s="20"/>
      <c r="Z150" s="20"/>
    </row>
    <row r="151" spans="3:26" ht="15.75" customHeight="1" thickBot="1" x14ac:dyDescent="0.25">
      <c r="G151" s="847" t="s">
        <v>162</v>
      </c>
      <c r="H151" s="873"/>
      <c r="I151" s="303">
        <f t="shared" si="30"/>
        <v>300000</v>
      </c>
      <c r="J151" s="303">
        <f t="shared" si="30"/>
        <v>108136</v>
      </c>
      <c r="K151" s="874">
        <f>I151-J151</f>
        <v>191864</v>
      </c>
      <c r="L151" s="873"/>
      <c r="X151" s="20"/>
      <c r="Z151" s="20"/>
    </row>
    <row r="152" spans="3:26" ht="15.75" customHeight="1" thickBot="1" x14ac:dyDescent="0.3">
      <c r="G152" s="875" t="s">
        <v>163</v>
      </c>
      <c r="H152" s="876"/>
      <c r="I152" s="304">
        <f>SUM(I141:I150)</f>
        <v>462209</v>
      </c>
      <c r="J152" s="304">
        <f>SUM(J141:J150)</f>
        <v>376211</v>
      </c>
      <c r="K152" s="877">
        <f>SUM(K141:L150)</f>
        <v>85998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J156" s="307">
        <v>28391</v>
      </c>
      <c r="Q156" s="20">
        <v>8815</v>
      </c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H158" s="307" t="s">
        <v>249</v>
      </c>
      <c r="I158" s="307">
        <v>20500</v>
      </c>
      <c r="J158" s="18">
        <f>I158/I162</f>
        <v>0.46345488662310946</v>
      </c>
      <c r="L158" s="80">
        <f>J156*$J$158</f>
        <v>13157.9476861167</v>
      </c>
      <c r="N158" s="20" t="s">
        <v>256</v>
      </c>
      <c r="P158" s="20">
        <v>360</v>
      </c>
      <c r="Q158" s="20">
        <v>4733</v>
      </c>
      <c r="R158" s="18">
        <f>Q158/Q162</f>
        <v>0.34464428748270587</v>
      </c>
      <c r="S158" s="18"/>
      <c r="T158" s="80">
        <f>Q156*R158</f>
        <v>3038.0393941600523</v>
      </c>
      <c r="X158" s="20"/>
      <c r="Z158" s="20"/>
    </row>
    <row r="159" spans="3:26" x14ac:dyDescent="0.2">
      <c r="C159" s="20"/>
      <c r="F159" s="20"/>
      <c r="H159" s="307" t="s">
        <v>250</v>
      </c>
      <c r="I159" s="307">
        <v>13733</v>
      </c>
      <c r="J159" s="18">
        <f>I159/I162</f>
        <v>0.31046955892659328</v>
      </c>
      <c r="L159" s="80">
        <f>J156*$J$159</f>
        <v>8814.541247484909</v>
      </c>
      <c r="P159" s="20">
        <v>361</v>
      </c>
      <c r="Q159" s="20">
        <v>1500</v>
      </c>
      <c r="R159" s="18">
        <f>Q159/Q162</f>
        <v>0.10922595208621569</v>
      </c>
      <c r="S159" s="18"/>
      <c r="T159" s="80">
        <f>Q156*R159</f>
        <v>962.82676763999132</v>
      </c>
      <c r="X159" s="20"/>
      <c r="Z159" s="20"/>
    </row>
    <row r="160" spans="3:26" x14ac:dyDescent="0.2">
      <c r="C160" s="20"/>
      <c r="F160" s="20"/>
      <c r="H160" s="307" t="s">
        <v>251</v>
      </c>
      <c r="I160" s="307">
        <v>10000</v>
      </c>
      <c r="J160" s="18">
        <f>I160/I162</f>
        <v>0.22607555445029728</v>
      </c>
      <c r="L160" s="80">
        <f>J156*$J$160</f>
        <v>6418.5110663983905</v>
      </c>
      <c r="P160" s="20">
        <v>363</v>
      </c>
      <c r="Q160" s="20">
        <v>7500</v>
      </c>
      <c r="R160" s="18">
        <f>Q160/Q162</f>
        <v>0.54612976043107841</v>
      </c>
      <c r="S160" s="18"/>
      <c r="T160" s="80">
        <f>Q156*R160</f>
        <v>4814.1338381999558</v>
      </c>
      <c r="X160" s="20"/>
      <c r="Z160" s="20"/>
    </row>
    <row r="161" spans="3:26" x14ac:dyDescent="0.2">
      <c r="C161" s="20"/>
      <c r="F161" s="20"/>
      <c r="J161" s="20"/>
      <c r="X161" s="20"/>
      <c r="Z161" s="20"/>
    </row>
    <row r="162" spans="3:26" x14ac:dyDescent="0.2">
      <c r="C162" s="20"/>
      <c r="F162" s="20"/>
      <c r="I162" s="307">
        <f>SUM(I158:I160)</f>
        <v>44233</v>
      </c>
      <c r="J162" s="20"/>
      <c r="Q162" s="20">
        <f>SUM(Q158:Q160)</f>
        <v>13733</v>
      </c>
      <c r="X162" s="20"/>
      <c r="Z162" s="20"/>
    </row>
    <row r="163" spans="3:26" x14ac:dyDescent="0.2">
      <c r="C163" s="20"/>
      <c r="F163" s="20"/>
      <c r="J163" s="20"/>
      <c r="X163" s="20"/>
      <c r="Z163" s="20"/>
    </row>
    <row r="164" spans="3:26" x14ac:dyDescent="0.2">
      <c r="C164" s="20"/>
      <c r="F164" s="20"/>
      <c r="J164" s="20"/>
      <c r="X164" s="20"/>
      <c r="Z164" s="20"/>
    </row>
    <row r="165" spans="3:26" x14ac:dyDescent="0.2">
      <c r="C165" s="20"/>
      <c r="F165" s="20"/>
      <c r="H165" s="458"/>
      <c r="I165" s="459" t="s">
        <v>252</v>
      </c>
      <c r="J165" s="78">
        <v>14260</v>
      </c>
      <c r="K165" s="78"/>
      <c r="P165" s="20" t="s">
        <v>254</v>
      </c>
      <c r="Q165" s="20">
        <v>6506</v>
      </c>
      <c r="X165" s="20"/>
      <c r="Z165" s="20"/>
    </row>
    <row r="166" spans="3:26" x14ac:dyDescent="0.2">
      <c r="C166" s="20"/>
      <c r="F166" s="20"/>
      <c r="H166" s="458" t="s">
        <v>253</v>
      </c>
      <c r="J166" s="20"/>
      <c r="N166" s="20" t="s">
        <v>255</v>
      </c>
      <c r="X166" s="20"/>
      <c r="Z166" s="20"/>
    </row>
    <row r="167" spans="3:26" x14ac:dyDescent="0.2">
      <c r="C167" s="20"/>
      <c r="F167" s="20"/>
      <c r="H167" s="458">
        <v>355</v>
      </c>
      <c r="I167" s="307">
        <v>5205</v>
      </c>
      <c r="J167" s="18">
        <f>I167/I170</f>
        <v>0.22430510665804784</v>
      </c>
      <c r="K167" s="80">
        <f>J165*J167</f>
        <v>3198.5908209437621</v>
      </c>
      <c r="N167" s="20">
        <v>364</v>
      </c>
      <c r="P167" s="20">
        <v>3600</v>
      </c>
      <c r="Q167" s="461">
        <f>P167/P170</f>
        <v>0.34003967129498441</v>
      </c>
      <c r="R167" s="80">
        <f>Q165*Q167</f>
        <v>2212.2981014451684</v>
      </c>
      <c r="X167" s="20"/>
      <c r="Z167" s="20"/>
    </row>
    <row r="168" spans="3:26" x14ac:dyDescent="0.2">
      <c r="C168" s="20"/>
      <c r="F168" s="20"/>
      <c r="H168" s="458">
        <v>356</v>
      </c>
      <c r="I168" s="307">
        <v>18000</v>
      </c>
      <c r="J168" s="18">
        <f>I168/I170</f>
        <v>0.77569489334195219</v>
      </c>
      <c r="K168" s="80">
        <f>J165*J168</f>
        <v>11061.409179056238</v>
      </c>
      <c r="N168" s="20">
        <v>365</v>
      </c>
      <c r="P168" s="20">
        <v>6000</v>
      </c>
      <c r="Q168" s="461">
        <f>P168/P170</f>
        <v>0.56673278549164074</v>
      </c>
      <c r="R168" s="80">
        <f>Q165*Q168</f>
        <v>3687.1635024086145</v>
      </c>
      <c r="X168" s="20"/>
      <c r="Z168" s="20"/>
    </row>
    <row r="169" spans="3:26" x14ac:dyDescent="0.2">
      <c r="C169" s="20"/>
      <c r="F169" s="20"/>
      <c r="H169" s="460"/>
      <c r="J169" s="20"/>
      <c r="N169" s="20" t="s">
        <v>257</v>
      </c>
      <c r="P169" s="20">
        <v>987</v>
      </c>
      <c r="Q169" s="461">
        <f>P169/P170</f>
        <v>9.3227543213374897E-2</v>
      </c>
      <c r="R169" s="80">
        <f>Q165*Q169</f>
        <v>606.53839614621711</v>
      </c>
      <c r="X169" s="20"/>
      <c r="Z169" s="20"/>
    </row>
    <row r="170" spans="3:26" x14ac:dyDescent="0.2">
      <c r="C170" s="20"/>
      <c r="F170" s="20"/>
      <c r="H170" s="458"/>
      <c r="I170" s="458">
        <f>SUM(I167:I168)</f>
        <v>23205</v>
      </c>
      <c r="J170" s="78"/>
      <c r="K170" s="78"/>
      <c r="P170" s="20">
        <f>SUM(P167:P169)</f>
        <v>10587</v>
      </c>
      <c r="X170" s="20"/>
      <c r="Z170" s="20"/>
    </row>
    <row r="171" spans="3:26" ht="15" x14ac:dyDescent="0.25">
      <c r="C171" s="20"/>
      <c r="F171" s="20"/>
      <c r="G171" s="305"/>
      <c r="H171" s="306"/>
      <c r="J171" s="20"/>
      <c r="X171" s="20"/>
      <c r="Z171" s="20"/>
    </row>
    <row r="172" spans="3:26" x14ac:dyDescent="0.2">
      <c r="C172" s="20"/>
      <c r="F172" s="20"/>
      <c r="J172" s="20"/>
      <c r="X172" s="20"/>
      <c r="Z172" s="20"/>
    </row>
    <row r="173" spans="3:26" x14ac:dyDescent="0.2">
      <c r="C173" s="20"/>
      <c r="F173" s="20"/>
      <c r="J173" s="20"/>
      <c r="X173" s="20"/>
      <c r="Z173" s="20"/>
    </row>
  </sheetData>
  <autoFilter ref="A1:AN152">
    <filterColumn colId="27" showButton="0"/>
    <filterColumn colId="28" showButton="0"/>
    <filterColumn colId="29" showButton="0"/>
  </autoFilter>
  <mergeCells count="87"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25:H125"/>
    <mergeCell ref="K125:L125"/>
    <mergeCell ref="G126:H126"/>
    <mergeCell ref="I126:L126"/>
    <mergeCell ref="K127:L127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A113:A114"/>
    <mergeCell ref="B113:B114"/>
    <mergeCell ref="G113:H113"/>
    <mergeCell ref="I113:L113"/>
    <mergeCell ref="K114:L114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69" priority="3" operator="lessThan">
      <formula>$AA$78</formula>
    </cfRule>
    <cfRule type="cellIs" dxfId="168" priority="5" operator="greaterThan">
      <formula>$AE$78</formula>
    </cfRule>
  </conditionalFormatting>
  <conditionalFormatting sqref="AA79">
    <cfRule type="cellIs" dxfId="167" priority="4" operator="greaterThan">
      <formula>$AE$79</formula>
    </cfRule>
  </conditionalFormatting>
  <conditionalFormatting sqref="AA80">
    <cfRule type="cellIs" dxfId="166" priority="2" operator="greaterThan">
      <formula>$AE$79</formula>
    </cfRule>
  </conditionalFormatting>
  <conditionalFormatting sqref="AU4:AU23">
    <cfRule type="cellIs" dxfId="165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 filterMode="1">
    <tabColor rgb="FF002060"/>
  </sheetPr>
  <dimension ref="A1:AU177"/>
  <sheetViews>
    <sheetView zoomScale="80" zoomScaleNormal="80" workbookViewId="0">
      <selection activeCell="T7" sqref="T7:T23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8.2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hidden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58">
        <v>3000</v>
      </c>
      <c r="I2" s="26">
        <v>0</v>
      </c>
      <c r="J2" s="26"/>
      <c r="K2" s="27">
        <f>SUM(H2:J2)</f>
        <v>3000</v>
      </c>
      <c r="L2" s="28">
        <f>AA4-K2</f>
        <v>153786</v>
      </c>
      <c r="M2" s="29"/>
      <c r="N2" s="798">
        <f>SUM(K2:K26)</f>
        <v>225149</v>
      </c>
      <c r="O2" s="30">
        <f>+K2/$N$2</f>
        <v>1.3324509547011091E-2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153786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585" t="s">
        <v>31</v>
      </c>
      <c r="AE2" s="585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hidden="1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58">
        <v>1100</v>
      </c>
      <c r="J3" s="26"/>
      <c r="K3" s="27">
        <f t="shared" ref="K3:K73" si="0">SUM(H3:J3)</f>
        <v>1100</v>
      </c>
      <c r="L3" s="28">
        <f t="shared" ref="L3:L66" si="1">+L2-K3</f>
        <v>152686</v>
      </c>
      <c r="M3" s="29"/>
      <c r="N3" s="799"/>
      <c r="O3" s="30">
        <f t="shared" ref="O3:O29" si="2">+K3/$N$2</f>
        <v>4.8856535005707335E-3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152686</v>
      </c>
      <c r="X3" s="32">
        <f t="shared" ref="X3:X56" si="9">W3-L3</f>
        <v>0</v>
      </c>
      <c r="Y3" s="37" t="s">
        <v>34</v>
      </c>
      <c r="Z3" s="38">
        <f>ROUND((Z13*57%),0)</f>
        <v>208411</v>
      </c>
      <c r="AA3" s="39">
        <f>ROUND((+Z14*0.57),0)</f>
        <v>207833</v>
      </c>
      <c r="AB3" s="454">
        <v>77946</v>
      </c>
      <c r="AC3" s="455">
        <v>125429</v>
      </c>
      <c r="AD3" s="40">
        <v>4458</v>
      </c>
      <c r="AE3" s="41">
        <f>SUM(AB3:AD3)</f>
        <v>207833</v>
      </c>
      <c r="AF3" s="41">
        <f>AA3-AE3</f>
        <v>0</v>
      </c>
      <c r="AG3" s="42">
        <f>AA3-AB3-AC3-AD3</f>
        <v>0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hidden="1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58">
        <v>22400</v>
      </c>
      <c r="J4" s="26"/>
      <c r="K4" s="27">
        <f t="shared" si="0"/>
        <v>22400</v>
      </c>
      <c r="L4" s="28">
        <f t="shared" si="1"/>
        <v>130286</v>
      </c>
      <c r="M4" s="29"/>
      <c r="N4" s="799"/>
      <c r="O4" s="30">
        <f t="shared" si="2"/>
        <v>9.9489671284349476E-2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130286</v>
      </c>
      <c r="X4" s="32">
        <f t="shared" si="9"/>
        <v>0</v>
      </c>
      <c r="Y4" s="37" t="s">
        <v>38</v>
      </c>
      <c r="Z4" s="38">
        <f>ROUND((Z13*43%),0)</f>
        <v>157222</v>
      </c>
      <c r="AA4" s="39">
        <f>ROUND((+Z14*0.43),0)</f>
        <v>156786</v>
      </c>
      <c r="AB4" s="43">
        <f>T105</f>
        <v>40408</v>
      </c>
      <c r="AC4" s="43">
        <f>S105</f>
        <v>116379</v>
      </c>
      <c r="AD4" s="40">
        <f>U105</f>
        <v>0</v>
      </c>
      <c r="AE4" s="41">
        <f>SUM(AB4:AD4)</f>
        <v>156787</v>
      </c>
      <c r="AF4" s="41">
        <f>AA4-AE4</f>
        <v>-1</v>
      </c>
      <c r="AG4" s="42">
        <f>AA4-AB4-AC4-AD4</f>
        <v>-1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hidden="1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58">
        <v>1200</v>
      </c>
      <c r="J5" s="26"/>
      <c r="K5" s="27">
        <f t="shared" si="0"/>
        <v>1200</v>
      </c>
      <c r="L5" s="28">
        <f t="shared" si="1"/>
        <v>129086</v>
      </c>
      <c r="M5" s="29"/>
      <c r="N5" s="799"/>
      <c r="O5" s="30">
        <f t="shared" si="2"/>
        <v>5.3298038188044359E-3</v>
      </c>
      <c r="P5" s="802"/>
      <c r="Q5" s="31">
        <f t="shared" si="3"/>
        <v>0</v>
      </c>
      <c r="R5" s="28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129086</v>
      </c>
      <c r="X5" s="32">
        <f t="shared" si="9"/>
        <v>0</v>
      </c>
      <c r="Y5" s="44" t="s">
        <v>41</v>
      </c>
      <c r="Z5" s="38">
        <f>SUM(Z3:Z4)</f>
        <v>365633</v>
      </c>
      <c r="AA5" s="45">
        <f>SUM(AA3:AA4)</f>
        <v>364619</v>
      </c>
      <c r="AB5" s="46">
        <f>SUM(AB3:AB4)</f>
        <v>118354</v>
      </c>
      <c r="AC5" s="41">
        <f>SUM(AC3:AC4)</f>
        <v>241808</v>
      </c>
      <c r="AD5" s="40">
        <f>SUM(AD3:AD4)</f>
        <v>4458</v>
      </c>
      <c r="AE5" s="41">
        <f>SUM(AB5:AD5)</f>
        <v>364620</v>
      </c>
      <c r="AF5" s="47">
        <f>SUM(AF3:AF4)</f>
        <v>-1</v>
      </c>
      <c r="AG5" s="47">
        <f>SUM(AG3:AG4)</f>
        <v>-1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hidden="1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58">
        <v>12000</v>
      </c>
      <c r="I6" s="26"/>
      <c r="J6" s="26"/>
      <c r="K6" s="27">
        <f t="shared" si="0"/>
        <v>12000</v>
      </c>
      <c r="L6" s="28">
        <f t="shared" si="1"/>
        <v>117086</v>
      </c>
      <c r="M6" s="29"/>
      <c r="N6" s="799"/>
      <c r="O6" s="30">
        <f t="shared" si="2"/>
        <v>5.3298038188044364E-2</v>
      </c>
      <c r="P6" s="802"/>
      <c r="Q6" s="31">
        <f t="shared" si="3"/>
        <v>0</v>
      </c>
      <c r="R6" s="2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117086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58">
        <f>1796+12370</f>
        <v>14166</v>
      </c>
      <c r="I7" s="558">
        <f>800+2430+604</f>
        <v>3834</v>
      </c>
      <c r="J7" s="26"/>
      <c r="K7" s="27">
        <f t="shared" si="0"/>
        <v>18000</v>
      </c>
      <c r="L7" s="28">
        <f t="shared" si="1"/>
        <v>99086</v>
      </c>
      <c r="M7" s="29"/>
      <c r="N7" s="799"/>
      <c r="O7" s="30">
        <f t="shared" si="2"/>
        <v>7.9947057282066539E-2</v>
      </c>
      <c r="P7" s="802"/>
      <c r="Q7" s="31">
        <f t="shared" si="3"/>
        <v>0</v>
      </c>
      <c r="R7" s="28"/>
      <c r="S7" s="599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99086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58">
        <v>2500</v>
      </c>
      <c r="I8" s="26"/>
      <c r="J8" s="26"/>
      <c r="K8" s="27">
        <f t="shared" si="0"/>
        <v>2500</v>
      </c>
      <c r="L8" s="28">
        <f t="shared" si="1"/>
        <v>96586</v>
      </c>
      <c r="M8" s="29"/>
      <c r="N8" s="799"/>
      <c r="O8" s="30">
        <f t="shared" si="2"/>
        <v>1.1103757955842576E-2</v>
      </c>
      <c r="P8" s="802"/>
      <c r="Q8" s="31">
        <f t="shared" si="3"/>
        <v>0</v>
      </c>
      <c r="R8" s="28"/>
      <c r="S8" s="599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96586</v>
      </c>
      <c r="X8" s="32">
        <f t="shared" si="9"/>
        <v>0</v>
      </c>
      <c r="Y8" s="14" t="s">
        <v>47</v>
      </c>
      <c r="Z8" s="54">
        <v>41919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hidden="1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58">
        <v>1148</v>
      </c>
      <c r="I9" s="518">
        <v>1052</v>
      </c>
      <c r="J9" s="26"/>
      <c r="K9" s="27">
        <f t="shared" si="0"/>
        <v>2200</v>
      </c>
      <c r="L9" s="28">
        <f t="shared" si="1"/>
        <v>94386</v>
      </c>
      <c r="M9" s="29"/>
      <c r="N9" s="799"/>
      <c r="O9" s="30">
        <f t="shared" si="2"/>
        <v>9.771307001141467E-3</v>
      </c>
      <c r="P9" s="802"/>
      <c r="Q9" s="31">
        <f t="shared" si="3"/>
        <v>0</v>
      </c>
      <c r="R9" s="28"/>
      <c r="S9" s="599">
        <f t="shared" si="4"/>
        <v>1148</v>
      </c>
      <c r="T9" s="28">
        <f t="shared" si="5"/>
        <v>1052</v>
      </c>
      <c r="U9" s="28">
        <f t="shared" si="6"/>
        <v>0</v>
      </c>
      <c r="V9" s="28">
        <f t="shared" si="7"/>
        <v>2200</v>
      </c>
      <c r="W9" s="31">
        <f t="shared" si="8"/>
        <v>94386</v>
      </c>
      <c r="X9" s="32">
        <f t="shared" si="9"/>
        <v>0</v>
      </c>
      <c r="Y9" s="14" t="s">
        <v>189</v>
      </c>
      <c r="Z9" s="58">
        <v>425800</v>
      </c>
      <c r="AA9" s="59">
        <f>Z9*14.65/14.73</f>
        <v>423487.44059742021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-165542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hidden="1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58">
        <v>20000</v>
      </c>
      <c r="I10" s="558"/>
      <c r="J10" s="26"/>
      <c r="K10" s="27">
        <f t="shared" si="0"/>
        <v>20000</v>
      </c>
      <c r="L10" s="28">
        <f t="shared" si="1"/>
        <v>74386</v>
      </c>
      <c r="M10" s="29"/>
      <c r="N10" s="799"/>
      <c r="O10" s="30">
        <f t="shared" si="2"/>
        <v>8.8830063646740606E-2</v>
      </c>
      <c r="P10" s="802"/>
      <c r="Q10" s="31">
        <f t="shared" si="3"/>
        <v>0</v>
      </c>
      <c r="R10" s="596">
        <v>-2045</v>
      </c>
      <c r="S10" s="28">
        <f t="shared" si="4"/>
        <v>17955</v>
      </c>
      <c r="T10" s="28">
        <f t="shared" si="5"/>
        <v>0</v>
      </c>
      <c r="U10" s="28">
        <f t="shared" si="6"/>
        <v>0</v>
      </c>
      <c r="V10" s="28">
        <f t="shared" si="7"/>
        <v>17955</v>
      </c>
      <c r="W10" s="31">
        <f t="shared" si="8"/>
        <v>76431</v>
      </c>
      <c r="X10" s="32">
        <f t="shared" si="9"/>
        <v>2045</v>
      </c>
      <c r="Y10" s="14" t="s">
        <v>191</v>
      </c>
      <c r="Z10" s="58">
        <f>ROUND((Z9*Z30),0)</f>
        <v>424619</v>
      </c>
      <c r="AA10" s="59">
        <f>Z10*14.65/14.73</f>
        <v>422312.8547182621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hidden="1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58">
        <v>18000</v>
      </c>
      <c r="I11" s="26"/>
      <c r="J11" s="26"/>
      <c r="K11" s="27">
        <f t="shared" si="0"/>
        <v>18000</v>
      </c>
      <c r="L11" s="28">
        <f t="shared" si="1"/>
        <v>56386</v>
      </c>
      <c r="M11" s="29"/>
      <c r="N11" s="799"/>
      <c r="O11" s="30">
        <f t="shared" si="2"/>
        <v>7.9947057282066539E-2</v>
      </c>
      <c r="P11" s="802"/>
      <c r="Q11" s="31">
        <f t="shared" si="3"/>
        <v>0</v>
      </c>
      <c r="R11" s="596">
        <v>-1840</v>
      </c>
      <c r="S11" s="28">
        <f t="shared" si="4"/>
        <v>16160</v>
      </c>
      <c r="T11" s="28">
        <f t="shared" si="5"/>
        <v>0</v>
      </c>
      <c r="U11" s="28">
        <f t="shared" si="6"/>
        <v>0</v>
      </c>
      <c r="V11" s="28">
        <f t="shared" si="7"/>
        <v>16160</v>
      </c>
      <c r="W11" s="31">
        <f t="shared" si="8"/>
        <v>60271</v>
      </c>
      <c r="X11" s="32">
        <f t="shared" si="9"/>
        <v>3885</v>
      </c>
      <c r="Y11" s="14" t="s">
        <v>59</v>
      </c>
      <c r="Z11" s="58">
        <v>45000</v>
      </c>
      <c r="AA11" s="59">
        <f>ROUND(Z11/Z27,0)*14.65/14.73</f>
        <v>44880.916496945014</v>
      </c>
      <c r="AB11" s="35"/>
      <c r="AC11" s="65"/>
      <c r="AD11" s="64"/>
      <c r="AE11" s="60">
        <f>AE9*57%</f>
        <v>96899.999999999985</v>
      </c>
      <c r="AF11" s="60">
        <f>AD3-AE11</f>
        <v>-92441.999999999985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hidden="1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58">
        <v>3600</v>
      </c>
      <c r="I12" s="558"/>
      <c r="J12" s="26"/>
      <c r="K12" s="27">
        <f t="shared" si="0"/>
        <v>3600</v>
      </c>
      <c r="L12" s="28">
        <f t="shared" si="1"/>
        <v>52786</v>
      </c>
      <c r="M12" s="29"/>
      <c r="N12" s="799"/>
      <c r="O12" s="30">
        <f t="shared" si="2"/>
        <v>1.5989411456413308E-2</v>
      </c>
      <c r="P12" s="802"/>
      <c r="Q12" s="31">
        <f t="shared" si="3"/>
        <v>0</v>
      </c>
      <c r="R12" s="596">
        <v>-368</v>
      </c>
      <c r="S12" s="597">
        <f t="shared" si="4"/>
        <v>3232</v>
      </c>
      <c r="T12" s="28">
        <f t="shared" si="5"/>
        <v>0</v>
      </c>
      <c r="U12" s="28">
        <f t="shared" si="6"/>
        <v>0</v>
      </c>
      <c r="V12" s="28">
        <f t="shared" si="7"/>
        <v>3232</v>
      </c>
      <c r="W12" s="31">
        <f t="shared" si="8"/>
        <v>57039</v>
      </c>
      <c r="X12" s="32">
        <f t="shared" si="9"/>
        <v>4253</v>
      </c>
      <c r="Y12" s="14" t="s">
        <v>64</v>
      </c>
      <c r="Z12" s="58">
        <v>15000</v>
      </c>
      <c r="AA12" s="59">
        <f>ROUND(Z12/Z28,0)*14.65/14.73</f>
        <v>14957.321792260693</v>
      </c>
      <c r="AB12" s="57">
        <f>Z12*57%</f>
        <v>8550</v>
      </c>
      <c r="AC12" s="65">
        <f>Z12*43%</f>
        <v>6450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hidden="1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58">
        <v>4266</v>
      </c>
      <c r="I13" s="558">
        <v>1734</v>
      </c>
      <c r="J13" s="26"/>
      <c r="K13" s="27">
        <f t="shared" si="0"/>
        <v>6000</v>
      </c>
      <c r="L13" s="28">
        <f t="shared" si="1"/>
        <v>46786</v>
      </c>
      <c r="M13" s="29"/>
      <c r="N13" s="799"/>
      <c r="O13" s="30">
        <f t="shared" si="2"/>
        <v>2.6649019094022182E-2</v>
      </c>
      <c r="P13" s="802"/>
      <c r="Q13" s="31">
        <f t="shared" si="3"/>
        <v>0</v>
      </c>
      <c r="R13" s="596">
        <v>-613</v>
      </c>
      <c r="S13" s="597">
        <v>4303</v>
      </c>
      <c r="T13" s="28">
        <v>1084</v>
      </c>
      <c r="U13" s="28">
        <f t="shared" si="6"/>
        <v>0</v>
      </c>
      <c r="V13" s="28">
        <f t="shared" si="7"/>
        <v>5387</v>
      </c>
      <c r="W13" s="31">
        <f t="shared" si="8"/>
        <v>51652</v>
      </c>
      <c r="X13" s="32">
        <f t="shared" si="9"/>
        <v>4866</v>
      </c>
      <c r="Y13" s="14" t="s">
        <v>67</v>
      </c>
      <c r="Z13" s="67">
        <f>Z14/Z30</f>
        <v>365633.23518173001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hidden="1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58">
        <v>16049</v>
      </c>
      <c r="I14" s="26">
        <v>0</v>
      </c>
      <c r="J14" s="26"/>
      <c r="K14" s="27">
        <f t="shared" si="0"/>
        <v>16049</v>
      </c>
      <c r="L14" s="28">
        <f t="shared" si="1"/>
        <v>30737</v>
      </c>
      <c r="M14" s="29"/>
      <c r="N14" s="799"/>
      <c r="O14" s="30">
        <f t="shared" si="2"/>
        <v>7.1281684573326995E-2</v>
      </c>
      <c r="P14" s="802"/>
      <c r="Q14" s="31">
        <f t="shared" si="3"/>
        <v>0</v>
      </c>
      <c r="R14" s="28">
        <v>-16049</v>
      </c>
      <c r="S14" s="28">
        <f t="shared" si="4"/>
        <v>0</v>
      </c>
      <c r="T14" s="28">
        <f t="shared" si="5"/>
        <v>0</v>
      </c>
      <c r="U14" s="28">
        <f t="shared" si="6"/>
        <v>0</v>
      </c>
      <c r="V14" s="28">
        <f t="shared" si="7"/>
        <v>0</v>
      </c>
      <c r="W14" s="31">
        <f t="shared" si="8"/>
        <v>51652</v>
      </c>
      <c r="X14" s="32">
        <f t="shared" si="9"/>
        <v>20915</v>
      </c>
      <c r="Y14" s="14" t="s">
        <v>70</v>
      </c>
      <c r="Z14" s="67">
        <f>+Z10-(Z11+Z12)</f>
        <v>364619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hidden="1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58">
        <v>17200</v>
      </c>
      <c r="I15" s="26"/>
      <c r="J15" s="26"/>
      <c r="K15" s="27">
        <f t="shared" si="0"/>
        <v>17200</v>
      </c>
      <c r="L15" s="28">
        <f t="shared" si="1"/>
        <v>13537</v>
      </c>
      <c r="M15" s="29"/>
      <c r="N15" s="799"/>
      <c r="O15" s="30">
        <f t="shared" si="2"/>
        <v>7.639385473619692E-2</v>
      </c>
      <c r="P15" s="802"/>
      <c r="Q15" s="31">
        <f t="shared" si="3"/>
        <v>0</v>
      </c>
      <c r="R15" s="28">
        <v>-17200</v>
      </c>
      <c r="S15" s="28">
        <f t="shared" si="4"/>
        <v>0</v>
      </c>
      <c r="T15" s="28">
        <f t="shared" si="5"/>
        <v>0</v>
      </c>
      <c r="U15" s="28">
        <f t="shared" si="6"/>
        <v>0</v>
      </c>
      <c r="V15" s="28">
        <f t="shared" si="7"/>
        <v>0</v>
      </c>
      <c r="W15" s="31">
        <f t="shared" si="8"/>
        <v>51652</v>
      </c>
      <c r="X15" s="32">
        <f t="shared" si="9"/>
        <v>38115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hidden="1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58">
        <v>20500</v>
      </c>
      <c r="I16" s="26"/>
      <c r="J16" s="26"/>
      <c r="K16" s="27">
        <f t="shared" si="0"/>
        <v>20500</v>
      </c>
      <c r="L16" s="28">
        <f t="shared" si="1"/>
        <v>-6963</v>
      </c>
      <c r="M16" s="29"/>
      <c r="N16" s="799"/>
      <c r="O16" s="30">
        <f t="shared" si="2"/>
        <v>9.1050815237909116E-2</v>
      </c>
      <c r="P16" s="802"/>
      <c r="Q16" s="31">
        <v>0</v>
      </c>
      <c r="R16" s="596">
        <v>-2096</v>
      </c>
      <c r="S16" s="599">
        <f t="shared" si="4"/>
        <v>18404</v>
      </c>
      <c r="T16" s="28">
        <f t="shared" si="5"/>
        <v>0</v>
      </c>
      <c r="U16" s="28">
        <f t="shared" si="6"/>
        <v>0</v>
      </c>
      <c r="V16" s="28">
        <f t="shared" si="7"/>
        <v>18404</v>
      </c>
      <c r="W16" s="31">
        <f t="shared" si="8"/>
        <v>33248</v>
      </c>
      <c r="X16" s="32">
        <f t="shared" si="9"/>
        <v>40211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58">
        <v>2688</v>
      </c>
      <c r="I17" s="558">
        <v>3000</v>
      </c>
      <c r="J17" s="26"/>
      <c r="K17" s="27">
        <f t="shared" si="0"/>
        <v>5688</v>
      </c>
      <c r="L17" s="28">
        <f t="shared" si="1"/>
        <v>-12651</v>
      </c>
      <c r="M17" s="29"/>
      <c r="N17" s="799"/>
      <c r="O17" s="30">
        <f t="shared" si="2"/>
        <v>2.5263270101133026E-2</v>
      </c>
      <c r="P17" s="802"/>
      <c r="Q17" s="31">
        <f t="shared" si="3"/>
        <v>0</v>
      </c>
      <c r="R17" s="28">
        <v>0</v>
      </c>
      <c r="S17" s="599">
        <f>IF(H17&lt;&gt;0,+H17+Q17+R17,0)-275</f>
        <v>2413</v>
      </c>
      <c r="T17" s="28">
        <f>IF(I17&lt;&gt;0,+I17+Q17+R17,0)-307</f>
        <v>2693</v>
      </c>
      <c r="U17" s="28">
        <f t="shared" si="6"/>
        <v>0</v>
      </c>
      <c r="V17" s="28">
        <f t="shared" si="7"/>
        <v>5106</v>
      </c>
      <c r="W17" s="31">
        <f t="shared" si="8"/>
        <v>28142</v>
      </c>
      <c r="X17" s="32">
        <f t="shared" si="9"/>
        <v>40793</v>
      </c>
      <c r="AA17" s="35"/>
      <c r="AB17" s="790">
        <f>+Z61-Z24-((Z12+Z11)*0.43)</f>
        <v>-25799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58">
        <v>312</v>
      </c>
      <c r="J18" s="26"/>
      <c r="K18" s="27">
        <f t="shared" si="0"/>
        <v>312</v>
      </c>
      <c r="L18" s="28">
        <f t="shared" si="1"/>
        <v>-12963</v>
      </c>
      <c r="M18" s="29"/>
      <c r="N18" s="799"/>
      <c r="O18" s="30"/>
      <c r="P18" s="802"/>
      <c r="Q18" s="31">
        <f t="shared" si="3"/>
        <v>0</v>
      </c>
      <c r="R18" s="28">
        <v>0</v>
      </c>
      <c r="S18" s="28">
        <f t="shared" si="4"/>
        <v>0</v>
      </c>
      <c r="T18" s="28">
        <f t="shared" si="5"/>
        <v>312</v>
      </c>
      <c r="U18" s="28">
        <f t="shared" si="6"/>
        <v>0</v>
      </c>
      <c r="V18" s="28">
        <f t="shared" si="7"/>
        <v>312</v>
      </c>
      <c r="W18" s="31">
        <f t="shared" si="8"/>
        <v>27830</v>
      </c>
      <c r="X18" s="32"/>
      <c r="Y18" s="14" t="s">
        <v>77</v>
      </c>
      <c r="Z18" s="71">
        <f>ROUND(Z14*0.43,0)</f>
        <v>156786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>
        <v>0</v>
      </c>
      <c r="I19" s="26"/>
      <c r="J19" s="26"/>
      <c r="K19" s="27">
        <f t="shared" si="0"/>
        <v>0</v>
      </c>
      <c r="L19" s="28">
        <f t="shared" si="1"/>
        <v>-12963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28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27830</v>
      </c>
      <c r="X19" s="32">
        <f t="shared" si="9"/>
        <v>40793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58">
        <v>1500</v>
      </c>
      <c r="I20" s="26">
        <v>0</v>
      </c>
      <c r="J20" s="26"/>
      <c r="K20" s="27">
        <f t="shared" si="0"/>
        <v>1500</v>
      </c>
      <c r="L20" s="28">
        <f t="shared" si="1"/>
        <v>-14463</v>
      </c>
      <c r="M20" s="29"/>
      <c r="N20" s="799"/>
      <c r="O20" s="30">
        <f t="shared" si="2"/>
        <v>6.6622547735055455E-3</v>
      </c>
      <c r="P20" s="802"/>
      <c r="Q20" s="31">
        <f t="shared" si="3"/>
        <v>0</v>
      </c>
      <c r="R20" s="596">
        <v>-153</v>
      </c>
      <c r="S20" s="599">
        <f t="shared" si="4"/>
        <v>1347</v>
      </c>
      <c r="T20" s="28">
        <f t="shared" si="5"/>
        <v>0</v>
      </c>
      <c r="U20" s="28">
        <f t="shared" si="6"/>
        <v>0</v>
      </c>
      <c r="V20" s="28">
        <f t="shared" si="7"/>
        <v>1347</v>
      </c>
      <c r="W20" s="31">
        <f t="shared" si="8"/>
        <v>26483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-14463</v>
      </c>
      <c r="M21" s="29"/>
      <c r="N21" s="799"/>
      <c r="O21" s="30"/>
      <c r="P21" s="802"/>
      <c r="Q21" s="31">
        <f t="shared" si="3"/>
        <v>0</v>
      </c>
      <c r="R21" s="28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26483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/>
      <c r="I22" s="558">
        <v>7500</v>
      </c>
      <c r="J22" s="26"/>
      <c r="K22" s="27">
        <f t="shared" si="0"/>
        <v>7500</v>
      </c>
      <c r="L22" s="28">
        <f t="shared" si="1"/>
        <v>-21963</v>
      </c>
      <c r="M22" s="29"/>
      <c r="N22" s="799"/>
      <c r="O22" s="30">
        <f t="shared" si="2"/>
        <v>3.3311273867527726E-2</v>
      </c>
      <c r="P22" s="802"/>
      <c r="Q22" s="31">
        <f t="shared" si="3"/>
        <v>0</v>
      </c>
      <c r="R22" s="596">
        <v>-767</v>
      </c>
      <c r="S22" s="28">
        <f t="shared" si="4"/>
        <v>0</v>
      </c>
      <c r="T22" s="28">
        <f t="shared" si="5"/>
        <v>6733</v>
      </c>
      <c r="U22" s="28">
        <f t="shared" si="6"/>
        <v>0</v>
      </c>
      <c r="V22" s="28">
        <f t="shared" si="7"/>
        <v>6733</v>
      </c>
      <c r="W22" s="31">
        <f t="shared" si="8"/>
        <v>19750</v>
      </c>
      <c r="X22" s="32">
        <f t="shared" si="9"/>
        <v>41713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-21963</v>
      </c>
      <c r="M23" s="29"/>
      <c r="N23" s="799"/>
      <c r="O23" s="30"/>
      <c r="P23" s="802"/>
      <c r="Q23" s="31">
        <f t="shared" si="3"/>
        <v>0</v>
      </c>
      <c r="R23" s="28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19750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hidden="1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-21963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28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19750</v>
      </c>
      <c r="X24" s="32">
        <f t="shared" si="9"/>
        <v>41713</v>
      </c>
      <c r="Y24" s="74" t="s">
        <v>169</v>
      </c>
      <c r="Z24" s="75">
        <f>+Z18+Z19</f>
        <v>156786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hidden="1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58">
        <v>12000</v>
      </c>
      <c r="I25" s="26"/>
      <c r="J25" s="26"/>
      <c r="K25" s="27">
        <f t="shared" si="0"/>
        <v>12000</v>
      </c>
      <c r="L25" s="28">
        <f t="shared" si="1"/>
        <v>-33963</v>
      </c>
      <c r="M25" s="29"/>
      <c r="N25" s="799"/>
      <c r="O25" s="30">
        <f t="shared" si="2"/>
        <v>5.3298038188044364E-2</v>
      </c>
      <c r="P25" s="802"/>
      <c r="Q25" s="31">
        <f t="shared" si="3"/>
        <v>0</v>
      </c>
      <c r="R25" s="596">
        <v>-1227</v>
      </c>
      <c r="S25" s="599">
        <f t="shared" si="4"/>
        <v>10773</v>
      </c>
      <c r="T25" s="28">
        <f t="shared" si="5"/>
        <v>0</v>
      </c>
      <c r="U25" s="28">
        <f t="shared" si="6"/>
        <v>0</v>
      </c>
      <c r="V25" s="28">
        <f t="shared" si="7"/>
        <v>10773</v>
      </c>
      <c r="W25" s="31">
        <f t="shared" ref="W25:W88" si="11">+W24-V25</f>
        <v>8977</v>
      </c>
      <c r="X25" s="32">
        <f t="shared" si="9"/>
        <v>42940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hidden="1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-68363</v>
      </c>
      <c r="M26" s="86"/>
      <c r="N26" s="800"/>
      <c r="O26" s="87">
        <f t="shared" si="2"/>
        <v>0.15278770947239384</v>
      </c>
      <c r="P26" s="803"/>
      <c r="Q26" s="144">
        <f t="shared" si="3"/>
        <v>0</v>
      </c>
      <c r="R26" s="28">
        <v>-34400</v>
      </c>
      <c r="S26" s="28">
        <f t="shared" si="4"/>
        <v>0</v>
      </c>
      <c r="T26" s="28">
        <f t="shared" si="5"/>
        <v>0</v>
      </c>
      <c r="U26" s="28">
        <f t="shared" si="6"/>
        <v>0</v>
      </c>
      <c r="V26" s="28">
        <f t="shared" si="7"/>
        <v>0</v>
      </c>
      <c r="W26" s="31">
        <f t="shared" si="11"/>
        <v>8977</v>
      </c>
      <c r="X26" s="32">
        <f t="shared" si="9"/>
        <v>77340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hidden="1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-68363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28"/>
      <c r="S27" s="28">
        <f t="shared" si="4"/>
        <v>0</v>
      </c>
      <c r="T27" s="28">
        <f t="shared" si="5"/>
        <v>0</v>
      </c>
      <c r="U27" s="28">
        <f t="shared" si="6"/>
        <v>0</v>
      </c>
      <c r="V27" s="28">
        <f t="shared" si="7"/>
        <v>0</v>
      </c>
      <c r="W27" s="31">
        <f t="shared" si="11"/>
        <v>8977</v>
      </c>
      <c r="X27" s="32">
        <f t="shared" si="9"/>
        <v>77340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hidden="1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-68363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28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8977</v>
      </c>
      <c r="X28" s="32">
        <f t="shared" si="9"/>
        <v>77340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hidden="1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-68363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28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8977</v>
      </c>
      <c r="X29" s="32">
        <f t="shared" si="9"/>
        <v>77340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hidden="1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-68363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28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8977</v>
      </c>
      <c r="X30" s="32">
        <f t="shared" si="9"/>
        <v>77340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hidden="1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-68363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28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8977</v>
      </c>
      <c r="X31" s="32">
        <f t="shared" si="9"/>
        <v>77340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-68363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28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8977</v>
      </c>
      <c r="X32" s="32">
        <f t="shared" si="9"/>
        <v>77340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-68363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28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8977</v>
      </c>
      <c r="X33" s="32">
        <f t="shared" si="9"/>
        <v>77340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hidden="1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-68363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28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8977</v>
      </c>
      <c r="X34" s="32">
        <f t="shared" si="9"/>
        <v>77340</v>
      </c>
      <c r="Y34" s="806"/>
      <c r="Z34" s="112">
        <v>100000</v>
      </c>
      <c r="AA34" s="113">
        <f>AD5-Z34</f>
        <v>-95542</v>
      </c>
      <c r="AB34" s="113">
        <f>Z34+AA34</f>
        <v>4458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hidden="1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-68363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28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8977</v>
      </c>
      <c r="X35" s="32">
        <f>W35-L35</f>
        <v>77340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hidden="1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-68363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28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8977</v>
      </c>
      <c r="X36" s="32">
        <f t="shared" si="9"/>
        <v>77340</v>
      </c>
      <c r="Y36" s="117" t="s">
        <v>60</v>
      </c>
      <c r="Z36" s="113">
        <f>Z34*57%</f>
        <v>56999.999999999993</v>
      </c>
      <c r="AA36" s="113">
        <f>AD3-Z36</f>
        <v>-52541.999999999993</v>
      </c>
      <c r="AB36" s="113">
        <f>Z36+AA36</f>
        <v>4458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hidden="1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-68363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28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8977</v>
      </c>
      <c r="X37" s="32">
        <f t="shared" si="9"/>
        <v>77340</v>
      </c>
      <c r="Y37" s="117" t="s">
        <v>94</v>
      </c>
      <c r="Z37" s="113">
        <f>+Z35+Z36</f>
        <v>100000</v>
      </c>
      <c r="AA37" s="113">
        <f>SUM(AA35:AA36)</f>
        <v>-95542</v>
      </c>
      <c r="AB37" s="113">
        <f>Z37+AA37</f>
        <v>4458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hidden="1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0</v>
      </c>
      <c r="I38" s="26"/>
      <c r="J38" s="26"/>
      <c r="K38" s="27">
        <f t="shared" si="0"/>
        <v>0</v>
      </c>
      <c r="L38" s="28">
        <f>+L37-K38</f>
        <v>-68363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28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8977</v>
      </c>
      <c r="X38" s="32">
        <f t="shared" si="9"/>
        <v>77340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hidden="1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-68363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28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8977</v>
      </c>
      <c r="X39" s="32">
        <f t="shared" si="9"/>
        <v>77340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hidden="1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-68363</v>
      </c>
      <c r="M40" s="29"/>
      <c r="N40" s="799"/>
      <c r="O40" s="30"/>
      <c r="P40" s="802"/>
      <c r="Q40" s="31"/>
      <c r="R40" s="28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8977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hidden="1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-68363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28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8977</v>
      </c>
      <c r="X41" s="32">
        <f t="shared" si="9"/>
        <v>77340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hidden="1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-68363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28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8977</v>
      </c>
      <c r="X42" s="32">
        <f t="shared" si="9"/>
        <v>77340</v>
      </c>
      <c r="Y42" s="74" t="s">
        <v>96</v>
      </c>
      <c r="Z42" s="75">
        <v>35500</v>
      </c>
      <c r="AA42" s="129">
        <f>+H7+H8+H17+H18+H19+H22+H32+H33+H43+H44+H45+H53</f>
        <v>21354</v>
      </c>
      <c r="AB42" s="129">
        <f>+I7+I8+I17+I18+I19+I22+I32+I33+I43+I44+I45+I53</f>
        <v>14646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-68363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28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8977</v>
      </c>
      <c r="X43" s="32">
        <f t="shared" si="9"/>
        <v>77340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-68363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28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8977</v>
      </c>
      <c r="X44" s="32">
        <f t="shared" si="9"/>
        <v>77340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-68363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28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8977</v>
      </c>
      <c r="X45" s="32">
        <f t="shared" si="9"/>
        <v>77340</v>
      </c>
      <c r="Y45" s="131" t="s">
        <v>98</v>
      </c>
      <c r="Z45" s="132">
        <v>9600</v>
      </c>
      <c r="AA45" s="133">
        <f>+H12+H13+H37+H38</f>
        <v>7866</v>
      </c>
      <c r="AB45" s="133">
        <f>+I12+I13+I37+I38</f>
        <v>1734</v>
      </c>
      <c r="AC45" s="133">
        <f>+AA45+AB45</f>
        <v>9600</v>
      </c>
      <c r="AD45" s="57"/>
      <c r="AE45" s="19">
        <v>440000000</v>
      </c>
    </row>
    <row r="46" spans="1:35" ht="18" hidden="1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58">
        <v>10000</v>
      </c>
      <c r="I46" s="26"/>
      <c r="J46" s="26"/>
      <c r="K46" s="27">
        <f t="shared" si="0"/>
        <v>10000</v>
      </c>
      <c r="L46" s="28">
        <f>+L45-K46</f>
        <v>-78363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596">
        <v>-1022</v>
      </c>
      <c r="S46" s="597">
        <f t="shared" si="4"/>
        <v>8978</v>
      </c>
      <c r="T46" s="28">
        <f t="shared" si="5"/>
        <v>0</v>
      </c>
      <c r="U46" s="28">
        <f t="shared" si="6"/>
        <v>0</v>
      </c>
      <c r="V46" s="28">
        <f t="shared" si="7"/>
        <v>8978</v>
      </c>
      <c r="W46" s="31">
        <f t="shared" si="11"/>
        <v>-1</v>
      </c>
      <c r="X46" s="32">
        <f t="shared" si="9"/>
        <v>78362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hidden="1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-78363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-1</v>
      </c>
      <c r="X47" s="32">
        <f t="shared" si="9"/>
        <v>78362</v>
      </c>
      <c r="Y47" s="57">
        <v>20000</v>
      </c>
      <c r="Z47" s="89">
        <v>4586</v>
      </c>
      <c r="AA47" s="35"/>
      <c r="AB47" s="57">
        <f>57000-AA60</f>
        <v>52542</v>
      </c>
      <c r="AC47" s="35"/>
      <c r="AD47" s="57"/>
    </row>
    <row r="48" spans="1:35" ht="18" hidden="1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-78363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-1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hidden="1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-78363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-1</v>
      </c>
      <c r="X49" s="32">
        <f t="shared" si="9"/>
        <v>78362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hidden="1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-78363</v>
      </c>
      <c r="M50" s="95"/>
      <c r="N50" s="804">
        <f>SUM(K50:K55)</f>
        <v>24000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-1</v>
      </c>
      <c r="X50" s="32">
        <f t="shared" si="9"/>
        <v>78362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hidden="1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58">
        <v>15000</v>
      </c>
      <c r="J51" s="26"/>
      <c r="K51" s="444">
        <f t="shared" si="0"/>
        <v>15000</v>
      </c>
      <c r="L51" s="28">
        <f t="shared" si="1"/>
        <v>-93363</v>
      </c>
      <c r="M51" s="234"/>
      <c r="N51" s="799"/>
      <c r="O51" s="184"/>
      <c r="P51" s="802"/>
      <c r="Q51" s="31"/>
      <c r="R51" s="31">
        <v>-15000</v>
      </c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11"/>
        <v>-1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hidden="1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-93363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-1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58">
        <v>2000</v>
      </c>
      <c r="I53" s="26"/>
      <c r="J53" s="26"/>
      <c r="K53" s="27">
        <f t="shared" si="0"/>
        <v>2000</v>
      </c>
      <c r="L53" s="28">
        <f>+L52-K53</f>
        <v>-95363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>
        <v>-2000</v>
      </c>
      <c r="S53" s="28">
        <f t="shared" si="4"/>
        <v>0</v>
      </c>
      <c r="T53" s="28">
        <f t="shared" si="5"/>
        <v>0</v>
      </c>
      <c r="U53" s="28">
        <f t="shared" si="6"/>
        <v>0</v>
      </c>
      <c r="V53" s="28">
        <f t="shared" si="7"/>
        <v>0</v>
      </c>
      <c r="W53" s="31">
        <f t="shared" si="11"/>
        <v>-1</v>
      </c>
      <c r="X53" s="32">
        <f t="shared" si="9"/>
        <v>95362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hidden="1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-95363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-1</v>
      </c>
      <c r="X54" s="32">
        <f t="shared" si="9"/>
        <v>95362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hidden="1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58">
        <v>7000</v>
      </c>
      <c r="J55" s="143"/>
      <c r="K55" s="27">
        <f t="shared" si="0"/>
        <v>7000</v>
      </c>
      <c r="L55" s="28">
        <f t="shared" si="1"/>
        <v>-102363</v>
      </c>
      <c r="M55" s="86"/>
      <c r="N55" s="800"/>
      <c r="O55" s="87">
        <f t="shared" si="12"/>
        <v>0.7</v>
      </c>
      <c r="P55" s="803"/>
      <c r="Q55" s="97">
        <f t="shared" si="13"/>
        <v>0</v>
      </c>
      <c r="R55" s="31">
        <v>-7000</v>
      </c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31">
        <f t="shared" si="11"/>
        <v>-1</v>
      </c>
      <c r="X55" s="119">
        <f t="shared" si="9"/>
        <v>102362</v>
      </c>
      <c r="Y55" s="807">
        <f>Z8</f>
        <v>41919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hidden="1" customHeight="1" thickBot="1" x14ac:dyDescent="0.25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-102363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-1</v>
      </c>
      <c r="X56" s="119">
        <f t="shared" si="9"/>
        <v>102362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hidden="1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-102363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-1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hidden="1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-102363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-1</v>
      </c>
      <c r="X58" s="408"/>
      <c r="Y58" s="180" t="s">
        <v>7</v>
      </c>
      <c r="Z58" s="181">
        <f>+AB4</f>
        <v>40408</v>
      </c>
      <c r="AA58" s="182">
        <f>+AB3</f>
        <v>77946</v>
      </c>
      <c r="AB58" s="182">
        <f>Z12</f>
        <v>15000</v>
      </c>
      <c r="AC58" s="181">
        <f>AB10</f>
        <v>0</v>
      </c>
      <c r="AD58" s="183">
        <f>SUM(Z58:AC58)</f>
        <v>133354</v>
      </c>
      <c r="AE58" s="185">
        <v>90000</v>
      </c>
      <c r="AL58" s="20">
        <v>9267528</v>
      </c>
    </row>
    <row r="59" spans="1:45" ht="15.75" hidden="1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-102363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-1</v>
      </c>
      <c r="X59" s="408"/>
      <c r="Y59" s="180" t="s">
        <v>17</v>
      </c>
      <c r="Z59" s="182">
        <f>+AC4</f>
        <v>116379</v>
      </c>
      <c r="AA59" s="182">
        <f>AC3</f>
        <v>125429</v>
      </c>
      <c r="AB59" s="182">
        <f>Z11</f>
        <v>45000</v>
      </c>
      <c r="AC59" s="181">
        <v>0</v>
      </c>
      <c r="AD59" s="183">
        <f>SUM(Z59:AC59)</f>
        <v>286808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-17849.666666666686</v>
      </c>
      <c r="AL59" s="20">
        <v>4410</v>
      </c>
    </row>
    <row r="60" spans="1:45" s="196" customFormat="1" ht="15.75" hidden="1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-102363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-1</v>
      </c>
      <c r="X60" s="408"/>
      <c r="Y60" s="180" t="s">
        <v>112</v>
      </c>
      <c r="Z60" s="181">
        <f>+AD4+AH11</f>
        <v>0</v>
      </c>
      <c r="AA60" s="182">
        <f>+AD3+AH10</f>
        <v>4458</v>
      </c>
      <c r="AB60" s="191">
        <v>0</v>
      </c>
      <c r="AC60" s="181">
        <v>0</v>
      </c>
      <c r="AD60" s="183">
        <f>SUM(Z60:AC60)</f>
        <v>4458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hidden="1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-102363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-1</v>
      </c>
      <c r="X61" s="408"/>
      <c r="Y61" s="193" t="s">
        <v>113</v>
      </c>
      <c r="Z61" s="194">
        <f>SUM(Z58:Z60)</f>
        <v>156787</v>
      </c>
      <c r="AA61" s="194">
        <f>SUM(AA58:AA60)</f>
        <v>207833</v>
      </c>
      <c r="AB61" s="194">
        <f>SUM(AB58:AB60)</f>
        <v>60000</v>
      </c>
      <c r="AC61" s="194">
        <f>AB10</f>
        <v>0</v>
      </c>
      <c r="AD61" s="195">
        <f>SUM(AD58:AD60)</f>
        <v>424620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hidden="1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-102363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-1</v>
      </c>
      <c r="X62" s="408"/>
      <c r="Y62" s="199" t="s">
        <v>114</v>
      </c>
      <c r="Z62" s="200">
        <f>(Z58/$Z$28+(Z59/$Z$27)+(Z60/$Z$29))</f>
        <v>157217.36922831676</v>
      </c>
      <c r="AA62" s="200">
        <f>(AA58/$Z$28+(AA59/$Z$27)+(AA60/$Z$29))</f>
        <v>208398.96424546692</v>
      </c>
      <c r="AB62" s="200">
        <f>(AB58/$Z$28)+(AB59/$Z$27)</f>
        <v>60164.795198097854</v>
      </c>
      <c r="AC62" s="200">
        <f>AB9</f>
        <v>0</v>
      </c>
      <c r="AD62" s="201">
        <f>(AD58/$Z$28+(AD59/$Z$27)+(AD60/$Z$29))</f>
        <v>425781.12867188151</v>
      </c>
      <c r="AE62" s="185"/>
    </row>
    <row r="63" spans="1:45" ht="16.5" hidden="1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-102363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-1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hidden="1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-102363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-1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hidden="1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-102363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-1</v>
      </c>
      <c r="X65" s="408"/>
      <c r="Y65" s="371" t="s">
        <v>115</v>
      </c>
      <c r="Z65" s="484"/>
      <c r="AA65" s="203">
        <v>104852.31025000001</v>
      </c>
      <c r="AB65" s="204"/>
      <c r="AC65" s="204"/>
      <c r="AD65" s="205"/>
      <c r="AE65" s="32">
        <v>108797.23749999999</v>
      </c>
      <c r="AF65" s="53">
        <f>+AA65-AE65</f>
        <v>-3944.9272499999788</v>
      </c>
      <c r="AI65" s="103"/>
      <c r="AJ65" s="103"/>
      <c r="AK65" s="13" t="s">
        <v>8</v>
      </c>
      <c r="AL65" s="373">
        <v>60693</v>
      </c>
    </row>
    <row r="66" spans="1:43" ht="15.75" hidden="1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-102363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-1</v>
      </c>
      <c r="X66" s="408"/>
      <c r="Y66" s="814" t="s">
        <v>116</v>
      </c>
      <c r="Z66" s="815"/>
      <c r="AA66" s="203">
        <v>99422.821960000001</v>
      </c>
      <c r="AB66" s="208"/>
      <c r="AC66" s="208"/>
      <c r="AD66" s="209"/>
      <c r="AE66" s="13">
        <v>52014.378240000005</v>
      </c>
      <c r="AF66" s="53">
        <f>+AA66-AE66</f>
        <v>47408.443719999996</v>
      </c>
      <c r="AI66" s="103"/>
      <c r="AJ66" s="103"/>
      <c r="AK66" s="213" t="s">
        <v>7</v>
      </c>
      <c r="AL66" s="374">
        <v>60934</v>
      </c>
    </row>
    <row r="67" spans="1:43" ht="15.75" hidden="1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-102363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-1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hidden="1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-102363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-1</v>
      </c>
      <c r="X68" s="211"/>
      <c r="Y68" s="814" t="s">
        <v>188</v>
      </c>
      <c r="Z68" s="815"/>
      <c r="AA68" s="207">
        <f>Z9*Z30+AC61</f>
        <v>424618.86738177401</v>
      </c>
      <c r="AB68" s="204"/>
      <c r="AC68" s="204"/>
      <c r="AD68" s="205"/>
      <c r="AE68" s="213"/>
      <c r="AI68" s="103"/>
      <c r="AJ68" s="103"/>
    </row>
    <row r="69" spans="1:43" ht="18.75" hidden="1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-102363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-1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hidden="1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-102363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-1</v>
      </c>
      <c r="X70" s="211"/>
      <c r="Y70" s="213"/>
      <c r="Z70" s="232">
        <f>+Z61-2200</f>
        <v>154587</v>
      </c>
      <c r="AA70" s="213"/>
      <c r="AB70" s="213"/>
      <c r="AC70" s="213"/>
      <c r="AD70" s="233">
        <v>491197</v>
      </c>
      <c r="AE70" s="233">
        <f>+AD70-(Z61+AA61)</f>
        <v>126577</v>
      </c>
    </row>
    <row r="71" spans="1:43" s="213" customFormat="1" ht="18" hidden="1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-102363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-1</v>
      </c>
      <c r="X71" s="211"/>
      <c r="AF71" s="13"/>
      <c r="AG71" s="185"/>
      <c r="AI71" s="103"/>
    </row>
    <row r="72" spans="1:43" ht="18" hidden="1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-102363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-1</v>
      </c>
      <c r="X72" s="211"/>
      <c r="Y72" s="214" t="s">
        <v>47</v>
      </c>
      <c r="Z72" s="215">
        <f>Z8</f>
        <v>41919</v>
      </c>
      <c r="AA72" s="818" t="s">
        <v>118</v>
      </c>
      <c r="AB72" s="818"/>
      <c r="AC72" s="818"/>
      <c r="AD72" s="216">
        <v>11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13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hidden="1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-102363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-1</v>
      </c>
      <c r="X73" s="211"/>
      <c r="Y73" s="214" t="s">
        <v>119</v>
      </c>
      <c r="Z73" s="480">
        <f>AD72</f>
        <v>11</v>
      </c>
      <c r="AA73" s="584" t="s">
        <v>120</v>
      </c>
      <c r="AB73" s="584"/>
      <c r="AC73" s="584"/>
      <c r="AD73" s="219">
        <f>24-AD72</f>
        <v>13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39692.307692307688</v>
      </c>
      <c r="AO73" s="373">
        <f>AN73*AM72/24</f>
        <v>21499.999999999996</v>
      </c>
      <c r="AP73" s="19">
        <f>21500*AD72/24</f>
        <v>9854.1666666666661</v>
      </c>
      <c r="AQ73" s="19">
        <f>21500-AP73</f>
        <v>11645.833333333334</v>
      </c>
    </row>
    <row r="74" spans="1:43" ht="18.75" hidden="1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-102363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-1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583" t="s">
        <v>127</v>
      </c>
      <c r="AK74" s="819"/>
      <c r="AL74" s="819"/>
      <c r="AM74" s="20" t="s">
        <v>232</v>
      </c>
      <c r="AN74" s="19">
        <f>Z79-AN73</f>
        <v>220171.358974359</v>
      </c>
      <c r="AO74" s="19"/>
    </row>
    <row r="75" spans="1:43" ht="37.5" hidden="1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-102363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-1</v>
      </c>
      <c r="X75" s="211"/>
      <c r="Y75" s="583" t="s">
        <v>121</v>
      </c>
      <c r="Z75" s="583" t="s">
        <v>122</v>
      </c>
      <c r="AA75" s="583" t="s">
        <v>123</v>
      </c>
      <c r="AB75" s="820" t="s">
        <v>124</v>
      </c>
      <c r="AC75" s="821"/>
      <c r="AD75" s="822"/>
      <c r="AE75" s="583" t="s">
        <v>125</v>
      </c>
      <c r="AF75" s="583" t="s">
        <v>126</v>
      </c>
      <c r="AG75" s="149"/>
      <c r="AH75" s="583" t="s">
        <v>121</v>
      </c>
      <c r="AI75" s="583"/>
      <c r="AJ75" s="214" t="s">
        <v>7</v>
      </c>
      <c r="AK75" s="236">
        <f>((+AD78-AA78)/$AD$73)*24</f>
        <v>139098.46153846153</v>
      </c>
      <c r="AL75" s="236">
        <f>AK75</f>
        <v>139098.46153846153</v>
      </c>
      <c r="AM75" s="20" t="s">
        <v>7</v>
      </c>
      <c r="AN75" s="19">
        <f>AD58</f>
        <v>133354</v>
      </c>
      <c r="AO75" s="482"/>
    </row>
    <row r="76" spans="1:43" ht="18" hidden="1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-102363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-1</v>
      </c>
      <c r="X76" s="211"/>
      <c r="Y76" s="583"/>
      <c r="Z76" s="583"/>
      <c r="AA76" s="583"/>
      <c r="AB76" s="583"/>
      <c r="AC76" s="583"/>
      <c r="AD76" s="583"/>
      <c r="AE76" s="583"/>
      <c r="AF76" s="583"/>
      <c r="AG76" s="149"/>
      <c r="AH76" s="583"/>
      <c r="AI76" s="583"/>
      <c r="AJ76" s="214" t="s">
        <v>6</v>
      </c>
      <c r="AK76" s="236">
        <f>((+AD79-AA79)/$AD$73)*24</f>
        <v>321114.4615384615</v>
      </c>
      <c r="AL76" s="236">
        <f>+AK76</f>
        <v>321114.4615384615</v>
      </c>
      <c r="AM76" s="464"/>
      <c r="AN76" s="19">
        <f>SUM(AN73:AN75)</f>
        <v>393217.66666666669</v>
      </c>
      <c r="AO76" s="483"/>
      <c r="AQ76" s="50"/>
    </row>
    <row r="77" spans="1:43" ht="18" hidden="1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-102363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-1</v>
      </c>
      <c r="X77" s="211"/>
      <c r="Y77" s="583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583"/>
      <c r="AI77" s="78"/>
      <c r="AJ77" s="214" t="s">
        <v>8</v>
      </c>
      <c r="AK77" s="236">
        <f>((+AD80-AA80)/$AD$73)*24</f>
        <v>8230.1538461538457</v>
      </c>
      <c r="AL77" s="236">
        <f>AK77</f>
        <v>8230.1538461538457</v>
      </c>
      <c r="AO77" s="51"/>
      <c r="AQ77" s="50"/>
    </row>
    <row r="78" spans="1:43" ht="18" hidden="1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-102363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-1</v>
      </c>
      <c r="X78" s="211"/>
      <c r="Y78" s="214" t="s">
        <v>7</v>
      </c>
      <c r="Z78" s="224">
        <v>116724.04166666666</v>
      </c>
      <c r="AA78" s="225">
        <v>58009</v>
      </c>
      <c r="AB78" s="226">
        <f t="shared" ref="AB78:AC80" si="22">+Z58</f>
        <v>40408</v>
      </c>
      <c r="AC78" s="226">
        <f t="shared" si="22"/>
        <v>77946</v>
      </c>
      <c r="AD78" s="226">
        <f>+AB78+AC78+AB58+AC58</f>
        <v>133354</v>
      </c>
      <c r="AE78" s="519">
        <f>+((AD58/24)*$AD$73)+AA78</f>
        <v>130242.41666666667</v>
      </c>
      <c r="AF78" s="227">
        <f>+AE78-AD78</f>
        <v>-3111.5833333333285</v>
      </c>
      <c r="AG78" s="212"/>
      <c r="AH78" s="214" t="s">
        <v>7</v>
      </c>
      <c r="AI78" s="446">
        <f>+AA78</f>
        <v>58009</v>
      </c>
      <c r="AK78" s="231">
        <f>+SUM(AK75:AK77)</f>
        <v>468443.07692307688</v>
      </c>
      <c r="AL78" s="231">
        <f>+SUM(AL75:AL77)</f>
        <v>468443.07692307688</v>
      </c>
      <c r="AM78" s="50"/>
      <c r="AO78" s="51"/>
    </row>
    <row r="79" spans="1:43" ht="18" hidden="1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-102363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-1</v>
      </c>
      <c r="X79" s="211"/>
      <c r="Y79" s="214" t="s">
        <v>6</v>
      </c>
      <c r="Z79" s="224">
        <v>259863.66666666669</v>
      </c>
      <c r="AA79" s="225">
        <v>112871</v>
      </c>
      <c r="AB79" s="226">
        <f t="shared" si="22"/>
        <v>116379</v>
      </c>
      <c r="AC79" s="226">
        <f t="shared" si="22"/>
        <v>125429</v>
      </c>
      <c r="AD79" s="226">
        <f>+AB79+AC79+AB59</f>
        <v>286808</v>
      </c>
      <c r="AE79" s="519">
        <f>+((AD59/24)*$AD$73)+AA79</f>
        <v>268225.33333333337</v>
      </c>
      <c r="AF79" s="227">
        <f>+AE79-AD79</f>
        <v>-18582.666666666628</v>
      </c>
      <c r="AG79" s="212"/>
      <c r="AH79" s="214" t="s">
        <v>6</v>
      </c>
      <c r="AI79" s="446">
        <f>+AA79</f>
        <v>112871</v>
      </c>
      <c r="AJ79" s="53"/>
      <c r="AK79" s="481">
        <v>536741</v>
      </c>
      <c r="AL79" s="481">
        <f>AK79-AK78</f>
        <v>68297.923076923122</v>
      </c>
      <c r="AO79" s="51"/>
    </row>
    <row r="80" spans="1:43" ht="18" hidden="1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-102363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-1</v>
      </c>
      <c r="X80" s="211"/>
      <c r="Y80" s="214" t="s">
        <v>8</v>
      </c>
      <c r="Z80" s="224">
        <v>0</v>
      </c>
      <c r="AA80" s="225">
        <v>0</v>
      </c>
      <c r="AB80" s="226">
        <f t="shared" si="22"/>
        <v>0</v>
      </c>
      <c r="AC80" s="226">
        <f t="shared" si="22"/>
        <v>4458</v>
      </c>
      <c r="AD80" s="226">
        <f>+AB80+AC80</f>
        <v>4458</v>
      </c>
      <c r="AE80" s="519">
        <f>+((AD60/24)*$AD$73)+AA80</f>
        <v>2414.75</v>
      </c>
      <c r="AF80" s="227">
        <f>+AE80-AD80</f>
        <v>-2043.25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0" ht="18" hidden="1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-102363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-1</v>
      </c>
      <c r="X81" s="211"/>
      <c r="Y81" s="228" t="s">
        <v>130</v>
      </c>
      <c r="Z81" s="229">
        <f t="shared" ref="Z81:AE81" si="23">SUM(Z78:Z80)</f>
        <v>376587.70833333337</v>
      </c>
      <c r="AA81" s="230">
        <f t="shared" si="23"/>
        <v>170880</v>
      </c>
      <c r="AB81" s="229">
        <f t="shared" si="23"/>
        <v>156787</v>
      </c>
      <c r="AC81" s="229">
        <f t="shared" si="23"/>
        <v>207833</v>
      </c>
      <c r="AD81" s="229">
        <f t="shared" si="23"/>
        <v>424620</v>
      </c>
      <c r="AE81" s="229">
        <f t="shared" si="23"/>
        <v>400882.50000000006</v>
      </c>
      <c r="AF81" s="227">
        <f>+SUM(AF78:AF80)</f>
        <v>-23737.499999999956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hidden="1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-102363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-1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hidden="1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-102363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-1</v>
      </c>
      <c r="X83" s="211"/>
      <c r="Z83" s="232"/>
      <c r="AF83" s="233"/>
      <c r="AH83" s="20"/>
      <c r="AI83" s="20"/>
    </row>
    <row r="84" spans="1:40" ht="18" hidden="1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-102363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-1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hidden="1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-102363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-1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hidden="1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-102363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-1</v>
      </c>
      <c r="Y86" s="14" t="s">
        <v>177</v>
      </c>
      <c r="Z86" s="336" t="s">
        <v>178</v>
      </c>
      <c r="AA86" s="337">
        <f>+AA81</f>
        <v>170880</v>
      </c>
      <c r="AB86" s="337">
        <f>AA87-AA86</f>
        <v>101309.72916666669</v>
      </c>
      <c r="AC86" s="42">
        <f>AB86*24/5.5</f>
        <v>442078.81818181829</v>
      </c>
      <c r="AD86" s="338">
        <f>AC86+353111</f>
        <v>795189.81818181835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hidden="1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-102363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-1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182231.00000000003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hidden="1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-102363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-1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hidden="1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-102363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-1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hidden="1" customHeight="1" thickBot="1" x14ac:dyDescent="0.25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-102363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-1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hidden="1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-102363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-1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hidden="1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-102363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-1</v>
      </c>
      <c r="Y92" s="882" t="s">
        <v>158</v>
      </c>
      <c r="Z92" s="586" t="s">
        <v>283</v>
      </c>
      <c r="AA92" s="587">
        <f>SUMIF($D$2:$D$57,"domiciliario",$I$2:$I$103)</f>
        <v>29586</v>
      </c>
      <c r="AB92" s="587">
        <f>SUMIF($D$2:$D$57,"domiciliario",$T$2:$T$103)</f>
        <v>29586</v>
      </c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hidden="1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-102363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-1</v>
      </c>
      <c r="Y93" s="883"/>
      <c r="Z93" s="588" t="s">
        <v>284</v>
      </c>
      <c r="AA93" s="589">
        <f>SUMIF($D$2:$D$57,"industrial",$I$2:$I$103)</f>
        <v>0</v>
      </c>
      <c r="AB93" s="589">
        <f>SUMIF($D$2:$D$57,"industrial",$T$2:$T$103)</f>
        <v>0</v>
      </c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hidden="1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-102363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-1</v>
      </c>
      <c r="Y94" s="883"/>
      <c r="Z94" s="588" t="s">
        <v>80</v>
      </c>
      <c r="AA94" s="589">
        <f>SUMIF($D$2:$D$57,"gnv",$I$2:$I$103)</f>
        <v>312</v>
      </c>
      <c r="AB94" s="589">
        <f>SUMIF($D$2:$D$57,"gnv",$T$2:$T$103)</f>
        <v>312</v>
      </c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hidden="1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-102363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-1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34234</v>
      </c>
      <c r="AB95" s="589">
        <f>SUMIF($D$2:$D$57,"termico",$T$2:$T$103)+SUMIF($D$2:$D$57,"electrico",$T$2:$T$103)+SUMIF($D$2:$D$57,"térmico",$T$2:$T$103)</f>
        <v>10510</v>
      </c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hidden="1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-102363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-1</v>
      </c>
      <c r="Y96" s="884"/>
      <c r="Z96" s="590" t="s">
        <v>286</v>
      </c>
      <c r="AA96" s="591"/>
      <c r="AB96" s="591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hidden="1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-102363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-1</v>
      </c>
      <c r="Y97" s="825" t="s">
        <v>154</v>
      </c>
      <c r="Z97" s="489" t="s">
        <v>283</v>
      </c>
      <c r="AA97" s="490">
        <f>SUMIF($D$2:$D$57,"domiciliario",$H$2:$H$103)</f>
        <v>32814</v>
      </c>
      <c r="AB97" s="490">
        <f>SUMIF($D$2:$D$57,"domiciliario",$S$2:$S$103)</f>
        <v>32814</v>
      </c>
      <c r="AC97" s="345"/>
      <c r="AD97" s="35"/>
      <c r="AE97" s="35"/>
      <c r="AF97" s="353"/>
      <c r="AG97" s="35"/>
      <c r="AH97" s="35"/>
      <c r="AJ97" s="109"/>
      <c r="AK97" s="236"/>
    </row>
    <row r="98" spans="1:40" ht="16.5" hidden="1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-102363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-1</v>
      </c>
      <c r="Y98" s="826"/>
      <c r="Z98" s="492" t="s">
        <v>284</v>
      </c>
      <c r="AA98" s="493">
        <f>SUMIF($D$2:$D$57,"industrial",$H$2:$H$103)</f>
        <v>34000</v>
      </c>
      <c r="AB98" s="493">
        <f>SUMIF($D$2:$D$57,"industrial",$S$2:$S$103)</f>
        <v>28729</v>
      </c>
      <c r="AC98" s="345"/>
      <c r="AD98" s="35"/>
      <c r="AE98" s="35"/>
      <c r="AF98" s="353"/>
      <c r="AG98" s="35"/>
      <c r="AH98" s="35"/>
      <c r="AJ98" s="109"/>
      <c r="AK98" s="236"/>
    </row>
    <row r="99" spans="1:40" ht="16.5" hidden="1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-102363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-1</v>
      </c>
      <c r="Y99" s="826"/>
      <c r="Z99" s="492" t="s">
        <v>80</v>
      </c>
      <c r="AA99" s="493">
        <f>SUMIF($D$2:$D$57,"gnv",$H$2:$H$103)</f>
        <v>0</v>
      </c>
      <c r="AB99" s="493">
        <f>SUMIF($D$2:$D$57,"gnv",$S$2:$S$103)</f>
        <v>0</v>
      </c>
      <c r="AC99" s="345"/>
      <c r="AD99" s="35"/>
      <c r="AE99" s="35"/>
      <c r="AF99" s="353"/>
      <c r="AG99" s="35"/>
      <c r="AH99" s="35"/>
    </row>
    <row r="100" spans="1:40" ht="16.5" hidden="1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-102363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-1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93803</v>
      </c>
      <c r="AB100" s="493">
        <f>SUMIF($D$2:$D$57,"termico",$S$2:$S$103)+SUMIF($D$2:$D$57,"electrico",$S$2:$S$103)+SUMIF($D$2:$D$57,"térmico",$S$2:$S$103)</f>
        <v>54836</v>
      </c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hidden="1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-102363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-1</v>
      </c>
      <c r="Y101" s="827"/>
      <c r="Z101" s="5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hidden="1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-102363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-1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hidden="1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-102363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-1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hidden="1" customHeight="1" thickBot="1" x14ac:dyDescent="0.2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hidden="1" customHeight="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160617</v>
      </c>
      <c r="I105" s="252">
        <f>+SUM(I2:I103)</f>
        <v>64132</v>
      </c>
      <c r="J105" s="252">
        <f>+SUM(J2:J103)</f>
        <v>34400</v>
      </c>
      <c r="K105" s="252">
        <f>SUM(K2:K103)</f>
        <v>259149</v>
      </c>
      <c r="L105" s="253">
        <f>+L103</f>
        <v>-102363</v>
      </c>
      <c r="M105" s="252">
        <f>SUM(M2:M103)</f>
        <v>0</v>
      </c>
      <c r="N105" s="252">
        <f>SUM(N2:N103)</f>
        <v>259149</v>
      </c>
      <c r="O105" s="252"/>
      <c r="P105" s="252">
        <f>SUM(P2:P103)</f>
        <v>0</v>
      </c>
      <c r="Q105" s="252">
        <f>SUM(Q2:Q103)</f>
        <v>0</v>
      </c>
      <c r="R105" s="252">
        <f>SUM(R2:R103)</f>
        <v>-101780</v>
      </c>
      <c r="S105" s="252">
        <f>SUM(S2:S103)</f>
        <v>116379</v>
      </c>
      <c r="T105" s="252">
        <f>+SUM(T2:T103)</f>
        <v>40408</v>
      </c>
      <c r="U105" s="252">
        <f>SUM(U2:U103)</f>
        <v>0</v>
      </c>
      <c r="V105" s="252">
        <f>SUM(V2:V103)</f>
        <v>156787</v>
      </c>
      <c r="W105" s="254">
        <f>+W103</f>
        <v>-1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hidden="1" customHeight="1" thickBot="1" x14ac:dyDescent="0.25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>
        <f>J93-8783</f>
        <v>-8783</v>
      </c>
      <c r="S106" s="119"/>
      <c r="W106" s="119"/>
      <c r="Y106" s="830"/>
      <c r="Z106" s="5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hidden="1" customHeight="1" thickBot="1" x14ac:dyDescent="0.25">
      <c r="A107" s="116"/>
      <c r="B107" s="116"/>
      <c r="C107" s="248"/>
      <c r="D107" s="116"/>
      <c r="E107" s="116"/>
      <c r="F107" s="255"/>
      <c r="G107" s="256"/>
      <c r="H107" s="575"/>
      <c r="I107" s="575"/>
      <c r="J107" s="575"/>
      <c r="K107" s="576"/>
      <c r="L107" s="287"/>
      <c r="M107" s="259"/>
      <c r="N107" s="259"/>
      <c r="O107" s="259"/>
      <c r="P107" s="259"/>
      <c r="Q107" s="116"/>
      <c r="R107" s="116"/>
      <c r="S107" s="119"/>
      <c r="T107" s="119"/>
      <c r="U107" s="116"/>
      <c r="V107" s="119"/>
      <c r="W107" s="119"/>
      <c r="Y107" s="502" t="s">
        <v>289</v>
      </c>
      <c r="Z107" s="503" t="s">
        <v>289</v>
      </c>
      <c r="AA107" s="504">
        <f>SUMIF($D$2:$D$57,"EXPORTACION",$J$2:$J$103)</f>
        <v>34400</v>
      </c>
      <c r="AB107" s="505">
        <f>SUMIF($D$2:$D$57,"EXPORTACION",$U$2:$U$103)</f>
        <v>0</v>
      </c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hidden="1" customHeight="1" x14ac:dyDescent="0.2">
      <c r="A108" s="116"/>
      <c r="B108" s="116"/>
      <c r="C108" s="248"/>
      <c r="D108" s="116"/>
      <c r="E108" s="116"/>
      <c r="F108" s="255"/>
      <c r="G108" s="256"/>
      <c r="H108" s="257" t="s">
        <v>193</v>
      </c>
      <c r="I108" s="257">
        <v>15000</v>
      </c>
      <c r="J108" s="574">
        <f>I108/$I$111</f>
        <v>0.88235294117647056</v>
      </c>
      <c r="K108" s="119">
        <f>$W$50*J108</f>
        <v>-0.88235294117647056</v>
      </c>
      <c r="L108" s="119">
        <f>I108-K108</f>
        <v>15000.882352941177</v>
      </c>
      <c r="M108" s="259"/>
      <c r="N108" s="259"/>
      <c r="O108" s="259"/>
      <c r="P108" s="259"/>
      <c r="Q108" s="116"/>
      <c r="R108" s="116"/>
      <c r="S108" s="119"/>
      <c r="T108" s="116"/>
      <c r="U108" s="116"/>
      <c r="V108" s="121"/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hidden="1" customHeight="1" x14ac:dyDescent="0.2">
      <c r="A109" s="116"/>
      <c r="B109" s="116"/>
      <c r="C109" s="248"/>
      <c r="D109" s="116"/>
      <c r="E109" s="116"/>
      <c r="F109" s="255"/>
      <c r="G109" s="256"/>
      <c r="H109" s="257"/>
      <c r="I109" s="257"/>
      <c r="J109" s="574"/>
      <c r="K109" s="119"/>
      <c r="L109" s="119"/>
      <c r="M109" s="259"/>
      <c r="N109" s="259"/>
      <c r="O109" s="259"/>
      <c r="P109" s="259"/>
      <c r="Q109" s="116"/>
      <c r="R109" s="116"/>
      <c r="S109" s="119"/>
      <c r="T109" s="119"/>
      <c r="U109" s="116"/>
      <c r="V109" s="119"/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hidden="1" customHeight="1" x14ac:dyDescent="0.2">
      <c r="A110" s="116"/>
      <c r="B110" s="116"/>
      <c r="C110" s="248"/>
      <c r="D110" s="116"/>
      <c r="E110" s="116"/>
      <c r="F110" s="255"/>
      <c r="G110" s="256"/>
      <c r="H110" s="260" t="s">
        <v>305</v>
      </c>
      <c r="I110" s="260">
        <v>2000</v>
      </c>
      <c r="J110" s="574">
        <f>I110/$I$111</f>
        <v>0.11764705882352941</v>
      </c>
      <c r="K110" s="119">
        <f>$W$50*J110</f>
        <v>-0.11764705882352941</v>
      </c>
      <c r="L110" s="119">
        <f>I110-K110</f>
        <v>2000.1176470588234</v>
      </c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hidden="1" customHeight="1" x14ac:dyDescent="0.2">
      <c r="A111" s="116"/>
      <c r="B111" s="116"/>
      <c r="C111" s="248"/>
      <c r="D111" s="116"/>
      <c r="E111" s="116"/>
      <c r="F111" s="255"/>
      <c r="G111" s="256"/>
      <c r="H111" s="573" t="s">
        <v>9</v>
      </c>
      <c r="I111" s="572">
        <f>SUM(I108:I110)</f>
        <v>17000</v>
      </c>
      <c r="J111" s="574">
        <f>SUM(J108:J110)</f>
        <v>1</v>
      </c>
      <c r="K111" s="265">
        <f>SUM(K108:K110)</f>
        <v>-1</v>
      </c>
      <c r="L111" s="265">
        <f>SUM(L108:L110)</f>
        <v>17001</v>
      </c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hidden="1" customHeight="1" thickBot="1" x14ac:dyDescent="0.2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hidden="1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hidden="1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hidden="1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113549</v>
      </c>
      <c r="J115" s="274">
        <f>SUM(H2:H5)+H14+SUM(H30:H32)+H35+18820</f>
        <v>37869</v>
      </c>
      <c r="K115" s="845">
        <f t="shared" ref="K115:K123" si="28">I115-J115</f>
        <v>75680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hidden="1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2000</v>
      </c>
      <c r="J116" s="275">
        <f>I116+0</f>
        <v>2000</v>
      </c>
      <c r="K116" s="839">
        <f t="shared" si="28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hidden="1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116013</v>
      </c>
      <c r="J117" s="275">
        <f>I117</f>
        <v>116013</v>
      </c>
      <c r="K117" s="839">
        <f t="shared" si="28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hidden="1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28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hidden="1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28"/>
        <v>0</v>
      </c>
      <c r="L119" s="840"/>
      <c r="X119" s="20"/>
      <c r="AJ119" s="348" t="s">
        <v>182</v>
      </c>
      <c r="AK119" s="349" t="s">
        <v>21</v>
      </c>
    </row>
    <row r="120" spans="1:40" ht="30" hidden="1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84443</v>
      </c>
      <c r="J120" s="275">
        <f>I120</f>
        <v>84443</v>
      </c>
      <c r="K120" s="839">
        <f t="shared" si="28"/>
        <v>0</v>
      </c>
      <c r="L120" s="840"/>
      <c r="AJ120" s="109" t="s">
        <v>155</v>
      </c>
      <c r="AK120" s="236">
        <v>169523</v>
      </c>
    </row>
    <row r="121" spans="1:40" ht="12.75" hidden="1" customHeight="1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7109</v>
      </c>
      <c r="J121" s="275">
        <f>I121+0</f>
        <v>7109</v>
      </c>
      <c r="K121" s="839">
        <f t="shared" si="28"/>
        <v>0</v>
      </c>
      <c r="L121" s="840"/>
      <c r="AJ121" s="354" t="s">
        <v>135</v>
      </c>
      <c r="AK121" s="355">
        <v>173236</v>
      </c>
    </row>
    <row r="122" spans="1:40" ht="12.75" hidden="1" customHeight="1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15191</v>
      </c>
      <c r="J122" s="277">
        <f>SUM(I15:I24)+SUM(I38:I43)+4379</f>
        <v>15191</v>
      </c>
      <c r="K122" s="839">
        <f t="shared" si="28"/>
        <v>0</v>
      </c>
      <c r="L122" s="840"/>
      <c r="M122" s="50"/>
      <c r="N122" s="50"/>
      <c r="O122" s="50"/>
      <c r="P122" s="50"/>
      <c r="AJ122" s="109"/>
      <c r="AK122" s="236"/>
    </row>
    <row r="123" spans="1:40" ht="12.75" hidden="1" customHeight="1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28"/>
        <v>0</v>
      </c>
      <c r="L123" s="840"/>
      <c r="AJ123" s="354"/>
      <c r="AK123" s="355"/>
    </row>
    <row r="124" spans="1:40" ht="13.5" hidden="1" customHeight="1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hidden="1" customHeight="1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hidden="1" customHeight="1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hidden="1" customHeight="1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ht="12.75" hidden="1" customHeight="1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ht="12.75" hidden="1" customHeight="1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29">I129-J129</f>
        <v>0</v>
      </c>
      <c r="L129" s="854"/>
    </row>
    <row r="130" spans="1:26" ht="12.75" hidden="1" customHeight="1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29"/>
        <v>1728</v>
      </c>
      <c r="L130" s="854"/>
    </row>
    <row r="131" spans="1:26" ht="12.75" hidden="1" customHeight="1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29"/>
        <v>0</v>
      </c>
      <c r="L131" s="854"/>
    </row>
    <row r="132" spans="1:26" ht="12.75" hidden="1" customHeight="1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29"/>
        <v>6594</v>
      </c>
      <c r="L132" s="854"/>
    </row>
    <row r="133" spans="1:26" ht="12.75" hidden="1" customHeight="1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29"/>
        <v>0</v>
      </c>
      <c r="L133" s="854"/>
    </row>
    <row r="134" spans="1:26" ht="12.75" hidden="1" customHeight="1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29"/>
        <v>0</v>
      </c>
      <c r="L134" s="854"/>
    </row>
    <row r="135" spans="1:26" ht="12.75" hidden="1" customHeight="1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29"/>
        <v>0</v>
      </c>
      <c r="L135" s="854"/>
    </row>
    <row r="136" spans="1:26" ht="12.75" hidden="1" customHeight="1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29"/>
        <v>0</v>
      </c>
      <c r="L136" s="854"/>
    </row>
    <row r="137" spans="1:26" ht="13.5" hidden="1" customHeight="1" thickBot="1" x14ac:dyDescent="0.2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29"/>
        <v>262</v>
      </c>
      <c r="L137" s="854"/>
      <c r="X137" s="20"/>
      <c r="Z137" s="20"/>
    </row>
    <row r="138" spans="1:26" ht="15.75" hidden="1" customHeight="1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hidden="1" customHeight="1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hidden="1" customHeight="1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ht="12.75" hidden="1" customHeight="1" x14ac:dyDescent="0.2">
      <c r="G141" s="864" t="s">
        <v>154</v>
      </c>
      <c r="H141" s="295" t="s">
        <v>28</v>
      </c>
      <c r="I141" s="296">
        <f t="shared" ref="I141:K151" si="30">I115+I128</f>
        <v>113549</v>
      </c>
      <c r="J141" s="296">
        <f t="shared" si="30"/>
        <v>37869</v>
      </c>
      <c r="K141" s="867">
        <f t="shared" si="30"/>
        <v>75680</v>
      </c>
      <c r="L141" s="868"/>
      <c r="X141" s="20"/>
      <c r="Z141" s="20"/>
    </row>
    <row r="142" spans="1:26" ht="12.75" hidden="1" customHeight="1" x14ac:dyDescent="0.2">
      <c r="C142" s="20"/>
      <c r="F142" s="20"/>
      <c r="G142" s="865"/>
      <c r="H142" s="297" t="s">
        <v>80</v>
      </c>
      <c r="I142" s="298">
        <f t="shared" si="30"/>
        <v>2000</v>
      </c>
      <c r="J142" s="298">
        <f t="shared" si="30"/>
        <v>2000</v>
      </c>
      <c r="K142" s="869">
        <f t="shared" si="30"/>
        <v>0</v>
      </c>
      <c r="L142" s="870"/>
      <c r="X142" s="20"/>
      <c r="Z142" s="20"/>
    </row>
    <row r="143" spans="1:26" ht="12.75" hidden="1" customHeight="1" x14ac:dyDescent="0.2">
      <c r="G143" s="865"/>
      <c r="H143" s="297" t="s">
        <v>61</v>
      </c>
      <c r="I143" s="298">
        <f t="shared" si="30"/>
        <v>117741</v>
      </c>
      <c r="J143" s="298">
        <f t="shared" si="30"/>
        <v>116013</v>
      </c>
      <c r="K143" s="869">
        <f t="shared" si="30"/>
        <v>1728</v>
      </c>
      <c r="L143" s="870"/>
      <c r="X143" s="20"/>
      <c r="Z143" s="20"/>
    </row>
    <row r="144" spans="1:26" ht="12.75" hidden="1" customHeight="1" x14ac:dyDescent="0.2">
      <c r="G144" s="865"/>
      <c r="H144" s="297" t="s">
        <v>156</v>
      </c>
      <c r="I144" s="298">
        <f t="shared" si="30"/>
        <v>14000</v>
      </c>
      <c r="J144" s="298">
        <f t="shared" si="30"/>
        <v>14000</v>
      </c>
      <c r="K144" s="869">
        <f t="shared" si="30"/>
        <v>0</v>
      </c>
      <c r="L144" s="870"/>
      <c r="X144" s="20"/>
      <c r="Z144" s="20"/>
    </row>
    <row r="145" spans="3:26" ht="13.5" hidden="1" customHeight="1" thickBot="1" x14ac:dyDescent="0.25">
      <c r="G145" s="866"/>
      <c r="H145" s="299" t="s">
        <v>157</v>
      </c>
      <c r="I145" s="300">
        <f t="shared" si="30"/>
        <v>67705</v>
      </c>
      <c r="J145" s="300">
        <f t="shared" si="30"/>
        <v>61111</v>
      </c>
      <c r="K145" s="871">
        <f t="shared" si="30"/>
        <v>6594</v>
      </c>
      <c r="L145" s="872"/>
      <c r="X145" s="20"/>
      <c r="Z145" s="20"/>
    </row>
    <row r="146" spans="3:26" ht="12.75" hidden="1" customHeight="1" x14ac:dyDescent="0.2">
      <c r="G146" s="879" t="s">
        <v>158</v>
      </c>
      <c r="H146" s="295" t="s">
        <v>28</v>
      </c>
      <c r="I146" s="296">
        <f t="shared" si="30"/>
        <v>84458</v>
      </c>
      <c r="J146" s="296">
        <f t="shared" si="30"/>
        <v>84458</v>
      </c>
      <c r="K146" s="867">
        <f t="shared" si="30"/>
        <v>0</v>
      </c>
      <c r="L146" s="868"/>
      <c r="X146" s="20"/>
      <c r="Z146" s="20"/>
    </row>
    <row r="147" spans="3:26" ht="12.75" hidden="1" customHeight="1" x14ac:dyDescent="0.2">
      <c r="G147" s="880"/>
      <c r="H147" s="297" t="s">
        <v>80</v>
      </c>
      <c r="I147" s="301">
        <f t="shared" si="30"/>
        <v>7109</v>
      </c>
      <c r="J147" s="301">
        <f t="shared" si="30"/>
        <v>7109</v>
      </c>
      <c r="K147" s="869">
        <f t="shared" si="30"/>
        <v>0</v>
      </c>
      <c r="L147" s="870"/>
      <c r="X147" s="20"/>
      <c r="Z147" s="20"/>
    </row>
    <row r="148" spans="3:26" ht="12.75" hidden="1" customHeight="1" x14ac:dyDescent="0.2">
      <c r="G148" s="880"/>
      <c r="H148" s="297" t="s">
        <v>61</v>
      </c>
      <c r="I148" s="301">
        <f t="shared" si="30"/>
        <v>15191</v>
      </c>
      <c r="J148" s="301">
        <f t="shared" si="30"/>
        <v>15191</v>
      </c>
      <c r="K148" s="869">
        <f t="shared" si="30"/>
        <v>0</v>
      </c>
      <c r="L148" s="870"/>
      <c r="X148" s="20"/>
      <c r="Z148" s="20"/>
    </row>
    <row r="149" spans="3:26" ht="12.75" hidden="1" customHeight="1" x14ac:dyDescent="0.2">
      <c r="G149" s="880"/>
      <c r="H149" s="297" t="s">
        <v>156</v>
      </c>
      <c r="I149" s="301">
        <f t="shared" si="30"/>
        <v>38756</v>
      </c>
      <c r="J149" s="301">
        <f t="shared" si="30"/>
        <v>38756</v>
      </c>
      <c r="K149" s="869">
        <f t="shared" si="30"/>
        <v>0</v>
      </c>
      <c r="L149" s="870"/>
      <c r="X149" s="20"/>
      <c r="Z149" s="20"/>
    </row>
    <row r="150" spans="3:26" ht="13.5" hidden="1" customHeight="1" thickBot="1" x14ac:dyDescent="0.25">
      <c r="G150" s="881"/>
      <c r="H150" s="299" t="s">
        <v>157</v>
      </c>
      <c r="I150" s="302">
        <f t="shared" si="30"/>
        <v>1700</v>
      </c>
      <c r="J150" s="302">
        <f t="shared" si="30"/>
        <v>1438</v>
      </c>
      <c r="K150" s="871">
        <f t="shared" si="30"/>
        <v>262</v>
      </c>
      <c r="L150" s="872"/>
      <c r="X150" s="20"/>
      <c r="Z150" s="20"/>
    </row>
    <row r="151" spans="3:26" ht="15.75" hidden="1" customHeight="1" thickBot="1" x14ac:dyDescent="0.25">
      <c r="G151" s="847" t="s">
        <v>162</v>
      </c>
      <c r="H151" s="873"/>
      <c r="I151" s="303">
        <f t="shared" si="30"/>
        <v>300000</v>
      </c>
      <c r="J151" s="303">
        <f t="shared" si="30"/>
        <v>108136</v>
      </c>
      <c r="K151" s="874">
        <f>I151-J151</f>
        <v>191864</v>
      </c>
      <c r="L151" s="873"/>
      <c r="X151" s="20"/>
      <c r="Z151" s="20"/>
    </row>
    <row r="152" spans="3:26" ht="15.75" hidden="1" customHeight="1" thickBot="1" x14ac:dyDescent="0.3">
      <c r="G152" s="875" t="s">
        <v>163</v>
      </c>
      <c r="H152" s="876"/>
      <c r="I152" s="304">
        <f>SUM(I141:I150)</f>
        <v>462209</v>
      </c>
      <c r="J152" s="304">
        <f>SUM(J141:J150)</f>
        <v>377945</v>
      </c>
      <c r="K152" s="877">
        <f>SUM(K141:L150)</f>
        <v>84264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J158" s="18"/>
      <c r="L158" s="80"/>
      <c r="R158" s="18"/>
      <c r="S158" s="18"/>
      <c r="T158" s="80"/>
      <c r="X158" s="20"/>
      <c r="Z158" s="20"/>
    </row>
    <row r="159" spans="3:26" x14ac:dyDescent="0.2">
      <c r="C159" s="20"/>
      <c r="F159" s="20"/>
      <c r="J159" s="18"/>
      <c r="L159" s="80"/>
      <c r="R159" s="18"/>
      <c r="S159" s="18"/>
      <c r="T159" s="80"/>
      <c r="X159" s="20"/>
      <c r="Z159" s="20"/>
    </row>
    <row r="160" spans="3:26" x14ac:dyDescent="0.2">
      <c r="C160" s="20"/>
      <c r="F160" s="20"/>
      <c r="J160" s="18"/>
      <c r="L160" s="80"/>
      <c r="R160" s="18"/>
      <c r="S160" s="18"/>
      <c r="T160" s="80"/>
      <c r="X160" s="20"/>
      <c r="Z160" s="20"/>
    </row>
    <row r="161" spans="3:26" x14ac:dyDescent="0.2">
      <c r="C161" s="20"/>
      <c r="F161" s="20"/>
      <c r="H161" s="20"/>
      <c r="I161" s="20"/>
      <c r="J161" s="20"/>
      <c r="X161" s="20"/>
      <c r="Z161" s="20"/>
    </row>
    <row r="162" spans="3:26" x14ac:dyDescent="0.2">
      <c r="C162" s="20"/>
      <c r="F162" s="20"/>
      <c r="H162" s="20"/>
      <c r="I162" s="20"/>
      <c r="J162" s="20"/>
      <c r="X162" s="20"/>
      <c r="Z162" s="20"/>
    </row>
    <row r="163" spans="3:26" x14ac:dyDescent="0.2">
      <c r="C163" s="20"/>
      <c r="F163" s="20"/>
      <c r="H163" s="20"/>
      <c r="I163" s="20"/>
      <c r="J163" s="20"/>
      <c r="X163" s="20"/>
      <c r="Z163" s="20"/>
    </row>
    <row r="164" spans="3:26" x14ac:dyDescent="0.2">
      <c r="C164" s="20"/>
      <c r="F164" s="20"/>
      <c r="H164" s="20"/>
      <c r="I164" s="20"/>
      <c r="J164" s="20"/>
      <c r="X164" s="20"/>
      <c r="Z164" s="20"/>
    </row>
    <row r="165" spans="3:26" x14ac:dyDescent="0.2">
      <c r="C165" s="20"/>
      <c r="F165" s="20"/>
      <c r="H165" s="20"/>
      <c r="I165" s="20"/>
      <c r="J165" s="20"/>
      <c r="X165" s="20"/>
      <c r="Z165" s="20"/>
    </row>
    <row r="166" spans="3:26" x14ac:dyDescent="0.2">
      <c r="C166" s="20"/>
      <c r="F166" s="20"/>
      <c r="H166" s="20"/>
      <c r="I166" s="20"/>
      <c r="J166" s="20"/>
      <c r="X166" s="20"/>
      <c r="Z166" s="20"/>
    </row>
    <row r="167" spans="3:26" x14ac:dyDescent="0.2">
      <c r="C167" s="20"/>
      <c r="F167" s="20"/>
      <c r="H167" s="20"/>
      <c r="I167" s="20"/>
      <c r="J167" s="20"/>
      <c r="Q167" s="461"/>
      <c r="R167" s="80"/>
      <c r="X167" s="20"/>
      <c r="Z167" s="20"/>
    </row>
    <row r="168" spans="3:26" x14ac:dyDescent="0.2">
      <c r="C168" s="20"/>
      <c r="F168" s="20"/>
      <c r="H168" s="20"/>
      <c r="I168" s="20"/>
      <c r="J168" s="20"/>
      <c r="Q168" s="461"/>
      <c r="R168" s="80"/>
      <c r="X168" s="20"/>
      <c r="Z168" s="20"/>
    </row>
    <row r="169" spans="3:26" x14ac:dyDescent="0.2">
      <c r="C169" s="20"/>
      <c r="F169" s="20"/>
      <c r="H169" s="20"/>
      <c r="I169" s="20"/>
      <c r="J169" s="20"/>
      <c r="Q169" s="461"/>
      <c r="R169" s="80"/>
      <c r="X169" s="20"/>
      <c r="Z169" s="20"/>
    </row>
    <row r="170" spans="3:26" x14ac:dyDescent="0.2">
      <c r="C170" s="20"/>
      <c r="F170" s="20"/>
      <c r="H170" s="20"/>
      <c r="I170" s="20"/>
      <c r="J170" s="20"/>
      <c r="X170" s="20"/>
      <c r="Z170" s="20"/>
    </row>
    <row r="171" spans="3:26" x14ac:dyDescent="0.2">
      <c r="C171" s="20"/>
      <c r="F171" s="20"/>
      <c r="H171" s="20"/>
      <c r="I171" s="20"/>
      <c r="J171" s="20"/>
      <c r="X171" s="20"/>
      <c r="Z171" s="20"/>
    </row>
    <row r="172" spans="3:26" x14ac:dyDescent="0.2">
      <c r="C172" s="20"/>
      <c r="F172" s="20"/>
      <c r="H172" s="20"/>
      <c r="I172" s="20"/>
      <c r="J172" s="20"/>
      <c r="X172" s="20"/>
      <c r="Z172" s="20"/>
    </row>
    <row r="173" spans="3:26" x14ac:dyDescent="0.2">
      <c r="C173" s="20"/>
      <c r="F173" s="20"/>
      <c r="H173" s="20"/>
      <c r="I173" s="20"/>
      <c r="J173" s="20"/>
      <c r="X173" s="20"/>
      <c r="Z173" s="20"/>
    </row>
    <row r="174" spans="3:26" x14ac:dyDescent="0.2">
      <c r="H174" s="20"/>
      <c r="I174" s="20"/>
      <c r="J174" s="20"/>
    </row>
    <row r="175" spans="3:26" x14ac:dyDescent="0.2">
      <c r="H175" s="20"/>
      <c r="I175" s="20"/>
      <c r="J175" s="20"/>
    </row>
    <row r="176" spans="3:26" x14ac:dyDescent="0.2">
      <c r="H176" s="20"/>
      <c r="I176" s="20"/>
      <c r="J176" s="20"/>
    </row>
    <row r="177" spans="8:10" x14ac:dyDescent="0.2">
      <c r="H177" s="20"/>
      <c r="I177" s="20"/>
      <c r="J177" s="20"/>
    </row>
  </sheetData>
  <autoFilter ref="A1:AN152">
    <filterColumn colId="6">
      <filters>
        <filter val="Gases del Caribe S.A. E.S.P"/>
        <filter val="Gases del Caribe S.A. E.S.P (E2)"/>
        <filter val="Gases del Caribe S.A. E.S.P (Gazel)"/>
        <filter val="Gases del Caribe S.A. E.S.P (GdC Autogeneración)"/>
      </filters>
    </filterColumn>
    <filterColumn colId="27" showButton="0"/>
    <filterColumn colId="28" showButton="0"/>
    <filterColumn colId="29" showButton="0"/>
  </autoFilter>
  <mergeCells count="87"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25:H125"/>
    <mergeCell ref="K125:L125"/>
    <mergeCell ref="G126:H126"/>
    <mergeCell ref="I126:L126"/>
    <mergeCell ref="K127:L127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A113:A114"/>
    <mergeCell ref="B113:B114"/>
    <mergeCell ref="G113:H113"/>
    <mergeCell ref="I113:L113"/>
    <mergeCell ref="K114:L114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64" priority="3" operator="lessThan">
      <formula>$AA$78</formula>
    </cfRule>
    <cfRule type="cellIs" dxfId="163" priority="5" operator="greaterThan">
      <formula>$AE$78</formula>
    </cfRule>
  </conditionalFormatting>
  <conditionalFormatting sqref="AA79">
    <cfRule type="cellIs" dxfId="162" priority="4" operator="greaterThan">
      <formula>$AE$79</formula>
    </cfRule>
  </conditionalFormatting>
  <conditionalFormatting sqref="AA80">
    <cfRule type="cellIs" dxfId="161" priority="2" operator="greaterThan">
      <formula>$AE$79</formula>
    </cfRule>
  </conditionalFormatting>
  <conditionalFormatting sqref="AU4:AU23">
    <cfRule type="cellIs" dxfId="160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002060"/>
  </sheetPr>
  <dimension ref="A1:AU177"/>
  <sheetViews>
    <sheetView topLeftCell="S39" zoomScaleNormal="100" workbookViewId="0">
      <selection activeCell="AD58" sqref="AD58:AD60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58">
        <v>3000</v>
      </c>
      <c r="I2" s="26">
        <v>0</v>
      </c>
      <c r="J2" s="26"/>
      <c r="K2" s="27">
        <f>SUM(H2:J2)</f>
        <v>3000</v>
      </c>
      <c r="L2" s="28">
        <f>AA4-K2</f>
        <v>153786</v>
      </c>
      <c r="M2" s="29"/>
      <c r="N2" s="798">
        <f>SUM(K2:K26)</f>
        <v>225149</v>
      </c>
      <c r="O2" s="30">
        <f>+K2/$N$2</f>
        <v>1.3324509547011091E-2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153786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593" t="s">
        <v>31</v>
      </c>
      <c r="AE2" s="593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58">
        <v>1100</v>
      </c>
      <c r="J3" s="26"/>
      <c r="K3" s="27">
        <f t="shared" ref="K3:K73" si="0">SUM(H3:J3)</f>
        <v>1100</v>
      </c>
      <c r="L3" s="28">
        <f t="shared" ref="L3:L66" si="1">+L2-K3</f>
        <v>152686</v>
      </c>
      <c r="M3" s="29"/>
      <c r="N3" s="799"/>
      <c r="O3" s="30">
        <f t="shared" ref="O3:O29" si="2">+K3/$N$2</f>
        <v>4.8856535005707335E-3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152686</v>
      </c>
      <c r="X3" s="32">
        <f t="shared" ref="X3:X56" si="9">W3-L3</f>
        <v>0</v>
      </c>
      <c r="Y3" s="37" t="s">
        <v>34</v>
      </c>
      <c r="Z3" s="38">
        <f>ROUND((Z13*57%),0)</f>
        <v>208411</v>
      </c>
      <c r="AA3" s="39">
        <f>ROUND((+Z14*0.57),0)</f>
        <v>207833</v>
      </c>
      <c r="AB3" s="454">
        <v>77946</v>
      </c>
      <c r="AC3" s="455">
        <v>125429</v>
      </c>
      <c r="AD3" s="40">
        <v>4458</v>
      </c>
      <c r="AE3" s="41">
        <f>SUM(AB3:AD3)</f>
        <v>207833</v>
      </c>
      <c r="AF3" s="41">
        <f>AA3-AE3</f>
        <v>0</v>
      </c>
      <c r="AG3" s="42">
        <f>AA3-AB3-AC3-AD3</f>
        <v>0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58">
        <v>22400</v>
      </c>
      <c r="J4" s="26"/>
      <c r="K4" s="27">
        <f t="shared" si="0"/>
        <v>22400</v>
      </c>
      <c r="L4" s="28">
        <f t="shared" si="1"/>
        <v>130286</v>
      </c>
      <c r="M4" s="29"/>
      <c r="N4" s="799"/>
      <c r="O4" s="30">
        <f t="shared" si="2"/>
        <v>9.9489671284349476E-2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130286</v>
      </c>
      <c r="X4" s="32">
        <f t="shared" si="9"/>
        <v>0</v>
      </c>
      <c r="Y4" s="37" t="s">
        <v>38</v>
      </c>
      <c r="Z4" s="38">
        <f>ROUND((Z13*43%),0)</f>
        <v>157222</v>
      </c>
      <c r="AA4" s="39">
        <f>ROUND((+Z14*0.43),0)</f>
        <v>156786</v>
      </c>
      <c r="AB4" s="43">
        <f>T105</f>
        <v>38482</v>
      </c>
      <c r="AC4" s="43">
        <f>S105</f>
        <v>118305</v>
      </c>
      <c r="AD4" s="40">
        <f>U105</f>
        <v>0</v>
      </c>
      <c r="AE4" s="41">
        <f>SUM(AB4:AD4)</f>
        <v>156787</v>
      </c>
      <c r="AF4" s="41">
        <f>AA4-AE4</f>
        <v>-1</v>
      </c>
      <c r="AG4" s="42">
        <f>AA4-AB4-AC4-AD4</f>
        <v>-1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58">
        <v>1200</v>
      </c>
      <c r="J5" s="26"/>
      <c r="K5" s="27">
        <f t="shared" si="0"/>
        <v>1200</v>
      </c>
      <c r="L5" s="28">
        <f t="shared" si="1"/>
        <v>129086</v>
      </c>
      <c r="M5" s="29"/>
      <c r="N5" s="799"/>
      <c r="O5" s="30">
        <f t="shared" si="2"/>
        <v>5.3298038188044359E-3</v>
      </c>
      <c r="P5" s="802"/>
      <c r="Q5" s="31">
        <f t="shared" si="3"/>
        <v>0</v>
      </c>
      <c r="R5" s="28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129086</v>
      </c>
      <c r="X5" s="32">
        <f t="shared" si="9"/>
        <v>0</v>
      </c>
      <c r="Y5" s="44" t="s">
        <v>41</v>
      </c>
      <c r="Z5" s="38">
        <f>SUM(Z3:Z4)</f>
        <v>365633</v>
      </c>
      <c r="AA5" s="45">
        <f>SUM(AA3:AA4)</f>
        <v>364619</v>
      </c>
      <c r="AB5" s="46">
        <f>SUM(AB3:AB4)</f>
        <v>116428</v>
      </c>
      <c r="AC5" s="41">
        <f>SUM(AC3:AC4)</f>
        <v>243734</v>
      </c>
      <c r="AD5" s="40">
        <f>SUM(AD3:AD4)</f>
        <v>4458</v>
      </c>
      <c r="AE5" s="41">
        <f>SUM(AB5:AD5)</f>
        <v>364620</v>
      </c>
      <c r="AF5" s="47">
        <f>SUM(AF3:AF4)</f>
        <v>-1</v>
      </c>
      <c r="AG5" s="47">
        <f>SUM(AG3:AG4)</f>
        <v>-1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58">
        <v>12000</v>
      </c>
      <c r="I6" s="26"/>
      <c r="J6" s="26"/>
      <c r="K6" s="27">
        <f t="shared" si="0"/>
        <v>12000</v>
      </c>
      <c r="L6" s="28">
        <f t="shared" si="1"/>
        <v>117086</v>
      </c>
      <c r="M6" s="29"/>
      <c r="N6" s="799"/>
      <c r="O6" s="30">
        <f t="shared" si="2"/>
        <v>5.3298038188044364E-2</v>
      </c>
      <c r="P6" s="802"/>
      <c r="Q6" s="31">
        <f t="shared" si="3"/>
        <v>0</v>
      </c>
      <c r="R6" s="2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117086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58">
        <f>1796+12370</f>
        <v>14166</v>
      </c>
      <c r="I7" s="558">
        <f>800+2430+604</f>
        <v>3834</v>
      </c>
      <c r="J7" s="26"/>
      <c r="K7" s="27">
        <f t="shared" si="0"/>
        <v>18000</v>
      </c>
      <c r="L7" s="28">
        <f t="shared" si="1"/>
        <v>99086</v>
      </c>
      <c r="M7" s="29"/>
      <c r="N7" s="799"/>
      <c r="O7" s="30">
        <f t="shared" si="2"/>
        <v>7.9947057282066539E-2</v>
      </c>
      <c r="P7" s="802"/>
      <c r="Q7" s="31">
        <f t="shared" si="3"/>
        <v>0</v>
      </c>
      <c r="R7" s="28"/>
      <c r="S7" s="599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99086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58">
        <v>2500</v>
      </c>
      <c r="I8" s="26"/>
      <c r="J8" s="26"/>
      <c r="K8" s="27">
        <f t="shared" si="0"/>
        <v>2500</v>
      </c>
      <c r="L8" s="28">
        <f t="shared" si="1"/>
        <v>96586</v>
      </c>
      <c r="M8" s="29"/>
      <c r="N8" s="799"/>
      <c r="O8" s="30">
        <f t="shared" si="2"/>
        <v>1.1103757955842576E-2</v>
      </c>
      <c r="P8" s="802"/>
      <c r="Q8" s="31">
        <f t="shared" si="3"/>
        <v>0</v>
      </c>
      <c r="R8" s="28"/>
      <c r="S8" s="599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96586</v>
      </c>
      <c r="X8" s="32">
        <f t="shared" si="9"/>
        <v>0</v>
      </c>
      <c r="Y8" s="14" t="s">
        <v>47</v>
      </c>
      <c r="Z8" s="54">
        <v>41919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58">
        <v>1148</v>
      </c>
      <c r="I9" s="518">
        <v>1052</v>
      </c>
      <c r="J9" s="26"/>
      <c r="K9" s="27">
        <f t="shared" si="0"/>
        <v>2200</v>
      </c>
      <c r="L9" s="28">
        <f t="shared" si="1"/>
        <v>94386</v>
      </c>
      <c r="M9" s="29"/>
      <c r="N9" s="799"/>
      <c r="O9" s="30">
        <f t="shared" si="2"/>
        <v>9.771307001141467E-3</v>
      </c>
      <c r="P9" s="802"/>
      <c r="Q9" s="31">
        <f t="shared" si="3"/>
        <v>0</v>
      </c>
      <c r="R9" s="28"/>
      <c r="S9" s="599">
        <f t="shared" si="4"/>
        <v>1148</v>
      </c>
      <c r="T9" s="28">
        <f t="shared" si="5"/>
        <v>1052</v>
      </c>
      <c r="U9" s="28">
        <f t="shared" si="6"/>
        <v>0</v>
      </c>
      <c r="V9" s="28">
        <f t="shared" si="7"/>
        <v>2200</v>
      </c>
      <c r="W9" s="31">
        <f t="shared" si="8"/>
        <v>94386</v>
      </c>
      <c r="X9" s="32">
        <f t="shared" si="9"/>
        <v>0</v>
      </c>
      <c r="Y9" s="14" t="s">
        <v>189</v>
      </c>
      <c r="Z9" s="58">
        <v>425800</v>
      </c>
      <c r="AA9" s="59">
        <f>Z9*14.65/14.73</f>
        <v>423487.44059742021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-165542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58">
        <v>20000</v>
      </c>
      <c r="I10" s="558"/>
      <c r="J10" s="26"/>
      <c r="K10" s="27">
        <f t="shared" si="0"/>
        <v>20000</v>
      </c>
      <c r="L10" s="28">
        <f t="shared" si="1"/>
        <v>74386</v>
      </c>
      <c r="M10" s="29"/>
      <c r="N10" s="799"/>
      <c r="O10" s="30">
        <f t="shared" si="2"/>
        <v>8.8830063646740606E-2</v>
      </c>
      <c r="P10" s="802"/>
      <c r="Q10" s="31">
        <f t="shared" si="3"/>
        <v>0</v>
      </c>
      <c r="R10" s="596">
        <v>-2045</v>
      </c>
      <c r="S10" s="28">
        <f t="shared" si="4"/>
        <v>17955</v>
      </c>
      <c r="T10" s="28">
        <f t="shared" si="5"/>
        <v>0</v>
      </c>
      <c r="U10" s="28">
        <f t="shared" si="6"/>
        <v>0</v>
      </c>
      <c r="V10" s="28">
        <f t="shared" si="7"/>
        <v>17955</v>
      </c>
      <c r="W10" s="31">
        <f t="shared" si="8"/>
        <v>76431</v>
      </c>
      <c r="X10" s="32">
        <f t="shared" si="9"/>
        <v>2045</v>
      </c>
      <c r="Y10" s="14" t="s">
        <v>191</v>
      </c>
      <c r="Z10" s="58">
        <f>ROUND((Z9*Z30),0)</f>
        <v>424619</v>
      </c>
      <c r="AA10" s="59">
        <f>Z10*14.65/14.73</f>
        <v>422312.8547182621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58">
        <v>18000</v>
      </c>
      <c r="I11" s="26"/>
      <c r="J11" s="26"/>
      <c r="K11" s="27">
        <f t="shared" si="0"/>
        <v>18000</v>
      </c>
      <c r="L11" s="28">
        <f t="shared" si="1"/>
        <v>56386</v>
      </c>
      <c r="M11" s="29"/>
      <c r="N11" s="799"/>
      <c r="O11" s="30">
        <f t="shared" si="2"/>
        <v>7.9947057282066539E-2</v>
      </c>
      <c r="P11" s="802"/>
      <c r="Q11" s="31">
        <f t="shared" si="3"/>
        <v>0</v>
      </c>
      <c r="R11" s="596">
        <v>-1840</v>
      </c>
      <c r="S11" s="28">
        <f t="shared" si="4"/>
        <v>16160</v>
      </c>
      <c r="T11" s="28">
        <f t="shared" si="5"/>
        <v>0</v>
      </c>
      <c r="U11" s="28">
        <f t="shared" si="6"/>
        <v>0</v>
      </c>
      <c r="V11" s="28">
        <f t="shared" si="7"/>
        <v>16160</v>
      </c>
      <c r="W11" s="31">
        <f t="shared" si="8"/>
        <v>60271</v>
      </c>
      <c r="X11" s="32">
        <f t="shared" si="9"/>
        <v>3885</v>
      </c>
      <c r="Y11" s="14" t="s">
        <v>59</v>
      </c>
      <c r="Z11" s="58">
        <v>45000</v>
      </c>
      <c r="AA11" s="59">
        <f>ROUND(Z11/Z27,0)*14.65/14.73</f>
        <v>44880.916496945014</v>
      </c>
      <c r="AB11" s="35"/>
      <c r="AC11" s="65"/>
      <c r="AD11" s="64"/>
      <c r="AE11" s="60">
        <f>AE9*57%</f>
        <v>96899.999999999985</v>
      </c>
      <c r="AF11" s="60">
        <f>AD3-AE11</f>
        <v>-92441.999999999985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58">
        <v>3600</v>
      </c>
      <c r="I12" s="558"/>
      <c r="J12" s="26"/>
      <c r="K12" s="27">
        <f t="shared" si="0"/>
        <v>3600</v>
      </c>
      <c r="L12" s="28">
        <f t="shared" si="1"/>
        <v>52786</v>
      </c>
      <c r="M12" s="29"/>
      <c r="N12" s="799"/>
      <c r="O12" s="30">
        <f t="shared" si="2"/>
        <v>1.5989411456413308E-2</v>
      </c>
      <c r="P12" s="802"/>
      <c r="Q12" s="31">
        <f t="shared" si="3"/>
        <v>0</v>
      </c>
      <c r="R12" s="596">
        <v>-368</v>
      </c>
      <c r="S12" s="597">
        <f t="shared" si="4"/>
        <v>3232</v>
      </c>
      <c r="T12" s="28">
        <f t="shared" si="5"/>
        <v>0</v>
      </c>
      <c r="U12" s="28">
        <f t="shared" si="6"/>
        <v>0</v>
      </c>
      <c r="V12" s="28">
        <f t="shared" si="7"/>
        <v>3232</v>
      </c>
      <c r="W12" s="31">
        <f t="shared" si="8"/>
        <v>57039</v>
      </c>
      <c r="X12" s="32">
        <f t="shared" si="9"/>
        <v>4253</v>
      </c>
      <c r="Y12" s="14" t="s">
        <v>64</v>
      </c>
      <c r="Z12" s="58">
        <v>15000</v>
      </c>
      <c r="AA12" s="59">
        <f>ROUND(Z12/Z28,0)*14.65/14.73</f>
        <v>14957.321792260693</v>
      </c>
      <c r="AB12" s="57">
        <f>Z12*57%</f>
        <v>8550</v>
      </c>
      <c r="AC12" s="65">
        <f>Z12*43%</f>
        <v>6450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58">
        <v>4266</v>
      </c>
      <c r="I13" s="558">
        <v>1734</v>
      </c>
      <c r="J13" s="26"/>
      <c r="K13" s="27">
        <f t="shared" si="0"/>
        <v>6000</v>
      </c>
      <c r="L13" s="28">
        <f t="shared" si="1"/>
        <v>46786</v>
      </c>
      <c r="M13" s="29"/>
      <c r="N13" s="799"/>
      <c r="O13" s="30">
        <f t="shared" si="2"/>
        <v>2.6649019094022182E-2</v>
      </c>
      <c r="P13" s="802"/>
      <c r="Q13" s="31">
        <f t="shared" si="3"/>
        <v>0</v>
      </c>
      <c r="R13" s="596">
        <v>-613</v>
      </c>
      <c r="S13" s="597">
        <v>4303</v>
      </c>
      <c r="T13" s="28">
        <v>1084</v>
      </c>
      <c r="U13" s="28">
        <f t="shared" si="6"/>
        <v>0</v>
      </c>
      <c r="V13" s="28">
        <f t="shared" si="7"/>
        <v>5387</v>
      </c>
      <c r="W13" s="31">
        <f t="shared" si="8"/>
        <v>51652</v>
      </c>
      <c r="X13" s="32">
        <f t="shared" si="9"/>
        <v>4866</v>
      </c>
      <c r="Y13" s="14" t="s">
        <v>67</v>
      </c>
      <c r="Z13" s="67">
        <f>Z14/Z30</f>
        <v>365633.23518173001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58">
        <v>16049</v>
      </c>
      <c r="I14" s="26">
        <v>0</v>
      </c>
      <c r="J14" s="26"/>
      <c r="K14" s="27">
        <f t="shared" si="0"/>
        <v>16049</v>
      </c>
      <c r="L14" s="28">
        <f t="shared" si="1"/>
        <v>30737</v>
      </c>
      <c r="M14" s="29"/>
      <c r="N14" s="799"/>
      <c r="O14" s="30">
        <f t="shared" si="2"/>
        <v>7.1281684573326995E-2</v>
      </c>
      <c r="P14" s="802"/>
      <c r="Q14" s="31">
        <f t="shared" si="3"/>
        <v>0</v>
      </c>
      <c r="R14" s="28">
        <v>-16049</v>
      </c>
      <c r="S14" s="28">
        <f t="shared" si="4"/>
        <v>0</v>
      </c>
      <c r="T14" s="28">
        <f t="shared" si="5"/>
        <v>0</v>
      </c>
      <c r="U14" s="28">
        <f t="shared" si="6"/>
        <v>0</v>
      </c>
      <c r="V14" s="28">
        <f t="shared" si="7"/>
        <v>0</v>
      </c>
      <c r="W14" s="31">
        <f t="shared" si="8"/>
        <v>51652</v>
      </c>
      <c r="X14" s="32">
        <f t="shared" si="9"/>
        <v>20915</v>
      </c>
      <c r="Y14" s="14" t="s">
        <v>70</v>
      </c>
      <c r="Z14" s="67">
        <f>+Z10-(Z11+Z12)</f>
        <v>364619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58">
        <v>17200</v>
      </c>
      <c r="I15" s="26"/>
      <c r="J15" s="26"/>
      <c r="K15" s="27">
        <f t="shared" si="0"/>
        <v>17200</v>
      </c>
      <c r="L15" s="28">
        <f t="shared" si="1"/>
        <v>13537</v>
      </c>
      <c r="M15" s="29"/>
      <c r="N15" s="799"/>
      <c r="O15" s="30">
        <f t="shared" si="2"/>
        <v>7.639385473619692E-2</v>
      </c>
      <c r="P15" s="802"/>
      <c r="Q15" s="31">
        <f t="shared" si="3"/>
        <v>0</v>
      </c>
      <c r="R15" s="28">
        <v>-17200</v>
      </c>
      <c r="S15" s="28">
        <f t="shared" si="4"/>
        <v>0</v>
      </c>
      <c r="T15" s="28">
        <f t="shared" si="5"/>
        <v>0</v>
      </c>
      <c r="U15" s="28">
        <f t="shared" si="6"/>
        <v>0</v>
      </c>
      <c r="V15" s="28">
        <f t="shared" si="7"/>
        <v>0</v>
      </c>
      <c r="W15" s="31">
        <f t="shared" si="8"/>
        <v>51652</v>
      </c>
      <c r="X15" s="32">
        <f t="shared" si="9"/>
        <v>38115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58">
        <v>20500</v>
      </c>
      <c r="I16" s="26"/>
      <c r="J16" s="26"/>
      <c r="K16" s="27">
        <f t="shared" si="0"/>
        <v>20500</v>
      </c>
      <c r="L16" s="28">
        <f t="shared" si="1"/>
        <v>-6963</v>
      </c>
      <c r="M16" s="29"/>
      <c r="N16" s="799"/>
      <c r="O16" s="30">
        <f t="shared" si="2"/>
        <v>9.1050815237909116E-2</v>
      </c>
      <c r="P16" s="802"/>
      <c r="Q16" s="31">
        <v>0</v>
      </c>
      <c r="R16" s="596">
        <v>-2096</v>
      </c>
      <c r="S16" s="599">
        <f t="shared" si="4"/>
        <v>18404</v>
      </c>
      <c r="T16" s="28">
        <f t="shared" si="5"/>
        <v>0</v>
      </c>
      <c r="U16" s="28">
        <f t="shared" si="6"/>
        <v>0</v>
      </c>
      <c r="V16" s="28">
        <f t="shared" si="7"/>
        <v>18404</v>
      </c>
      <c r="W16" s="31">
        <f t="shared" si="8"/>
        <v>33248</v>
      </c>
      <c r="X16" s="32">
        <f t="shared" si="9"/>
        <v>40211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58">
        <v>2688</v>
      </c>
      <c r="I17" s="558">
        <v>3000</v>
      </c>
      <c r="J17" s="26"/>
      <c r="K17" s="27">
        <f t="shared" si="0"/>
        <v>5688</v>
      </c>
      <c r="L17" s="28">
        <f t="shared" si="1"/>
        <v>-12651</v>
      </c>
      <c r="M17" s="29"/>
      <c r="N17" s="799"/>
      <c r="O17" s="30">
        <f t="shared" si="2"/>
        <v>2.5263270101133026E-2</v>
      </c>
      <c r="P17" s="802"/>
      <c r="Q17" s="31">
        <f t="shared" si="3"/>
        <v>0</v>
      </c>
      <c r="R17" s="28">
        <v>0</v>
      </c>
      <c r="S17" s="603">
        <f>IF(H17&lt;&gt;0,+H17+Q17+R17,0)-275+1926</f>
        <v>4339</v>
      </c>
      <c r="T17" s="603">
        <f>IF(I17&lt;&gt;0,+I17+Q17+R17,0)-307-767-1926</f>
        <v>0</v>
      </c>
      <c r="U17" s="28">
        <f t="shared" si="6"/>
        <v>0</v>
      </c>
      <c r="V17" s="28">
        <f t="shared" si="7"/>
        <v>4339</v>
      </c>
      <c r="W17" s="31">
        <f t="shared" si="8"/>
        <v>28909</v>
      </c>
      <c r="X17" s="32">
        <f t="shared" si="9"/>
        <v>41560</v>
      </c>
      <c r="AA17" s="35"/>
      <c r="AB17" s="790">
        <f>+Z61-Z24-((Z12+Z11)*0.43)</f>
        <v>-25799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58">
        <v>312</v>
      </c>
      <c r="J18" s="26"/>
      <c r="K18" s="27">
        <f t="shared" si="0"/>
        <v>312</v>
      </c>
      <c r="L18" s="28">
        <f t="shared" si="1"/>
        <v>-12963</v>
      </c>
      <c r="M18" s="29"/>
      <c r="N18" s="799"/>
      <c r="O18" s="30"/>
      <c r="P18" s="802"/>
      <c r="Q18" s="31">
        <f t="shared" si="3"/>
        <v>0</v>
      </c>
      <c r="R18" s="28">
        <v>0</v>
      </c>
      <c r="S18" s="603">
        <f t="shared" si="4"/>
        <v>0</v>
      </c>
      <c r="T18" s="603">
        <f t="shared" si="5"/>
        <v>312</v>
      </c>
      <c r="U18" s="28">
        <f t="shared" si="6"/>
        <v>0</v>
      </c>
      <c r="V18" s="28">
        <f t="shared" si="7"/>
        <v>312</v>
      </c>
      <c r="W18" s="31">
        <f t="shared" si="8"/>
        <v>28597</v>
      </c>
      <c r="X18" s="32"/>
      <c r="Y18" s="14" t="s">
        <v>77</v>
      </c>
      <c r="Z18" s="71">
        <f>ROUND(Z14*0.43,0)</f>
        <v>156786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>
        <v>0</v>
      </c>
      <c r="I19" s="26"/>
      <c r="J19" s="26"/>
      <c r="K19" s="27">
        <f t="shared" si="0"/>
        <v>0</v>
      </c>
      <c r="L19" s="28">
        <f t="shared" si="1"/>
        <v>-12963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28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28597</v>
      </c>
      <c r="X19" s="32">
        <f t="shared" si="9"/>
        <v>41560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58">
        <v>1500</v>
      </c>
      <c r="I20" s="26">
        <v>0</v>
      </c>
      <c r="J20" s="26"/>
      <c r="K20" s="27">
        <f t="shared" si="0"/>
        <v>1500</v>
      </c>
      <c r="L20" s="28">
        <f t="shared" si="1"/>
        <v>-14463</v>
      </c>
      <c r="M20" s="29"/>
      <c r="N20" s="799"/>
      <c r="O20" s="30">
        <f t="shared" si="2"/>
        <v>6.6622547735055455E-3</v>
      </c>
      <c r="P20" s="802"/>
      <c r="Q20" s="31">
        <f t="shared" si="3"/>
        <v>0</v>
      </c>
      <c r="R20" s="596">
        <v>-153</v>
      </c>
      <c r="S20" s="603">
        <f t="shared" si="4"/>
        <v>1347</v>
      </c>
      <c r="T20" s="603">
        <f t="shared" si="5"/>
        <v>0</v>
      </c>
      <c r="U20" s="28">
        <f t="shared" si="6"/>
        <v>0</v>
      </c>
      <c r="V20" s="28">
        <f t="shared" si="7"/>
        <v>1347</v>
      </c>
      <c r="W20" s="31">
        <f t="shared" si="8"/>
        <v>27250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-14463</v>
      </c>
      <c r="M21" s="29"/>
      <c r="N21" s="799"/>
      <c r="O21" s="30"/>
      <c r="P21" s="802"/>
      <c r="Q21" s="31">
        <f t="shared" si="3"/>
        <v>0</v>
      </c>
      <c r="R21" s="28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27250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/>
      <c r="I22" s="558">
        <v>7500</v>
      </c>
      <c r="J22" s="26"/>
      <c r="K22" s="27">
        <f t="shared" si="0"/>
        <v>7500</v>
      </c>
      <c r="L22" s="28">
        <f t="shared" si="1"/>
        <v>-21963</v>
      </c>
      <c r="M22" s="29"/>
      <c r="N22" s="799"/>
      <c r="O22" s="30">
        <f t="shared" si="2"/>
        <v>3.3311273867527726E-2</v>
      </c>
      <c r="P22" s="802"/>
      <c r="Q22" s="31">
        <f t="shared" si="3"/>
        <v>0</v>
      </c>
      <c r="R22" s="596"/>
      <c r="S22" s="603">
        <f t="shared" si="4"/>
        <v>0</v>
      </c>
      <c r="T22" s="603">
        <f t="shared" si="5"/>
        <v>7500</v>
      </c>
      <c r="U22" s="28">
        <f t="shared" si="6"/>
        <v>0</v>
      </c>
      <c r="V22" s="28">
        <f t="shared" si="7"/>
        <v>7500</v>
      </c>
      <c r="W22" s="31">
        <f t="shared" si="8"/>
        <v>19750</v>
      </c>
      <c r="X22" s="32">
        <f t="shared" si="9"/>
        <v>41713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-21963</v>
      </c>
      <c r="M23" s="29"/>
      <c r="N23" s="799"/>
      <c r="O23" s="30"/>
      <c r="P23" s="802"/>
      <c r="Q23" s="31">
        <f t="shared" si="3"/>
        <v>0</v>
      </c>
      <c r="R23" s="28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19750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-21963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28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19750</v>
      </c>
      <c r="X24" s="32">
        <f t="shared" si="9"/>
        <v>41713</v>
      </c>
      <c r="Y24" s="74" t="s">
        <v>169</v>
      </c>
      <c r="Z24" s="75">
        <f>+Z18+Z19</f>
        <v>156786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58">
        <v>12000</v>
      </c>
      <c r="I25" s="26"/>
      <c r="J25" s="26"/>
      <c r="K25" s="27">
        <f t="shared" si="0"/>
        <v>12000</v>
      </c>
      <c r="L25" s="28">
        <f t="shared" si="1"/>
        <v>-33963</v>
      </c>
      <c r="M25" s="29"/>
      <c r="N25" s="799"/>
      <c r="O25" s="30">
        <f t="shared" si="2"/>
        <v>5.3298038188044364E-2</v>
      </c>
      <c r="P25" s="802"/>
      <c r="Q25" s="31">
        <f t="shared" si="3"/>
        <v>0</v>
      </c>
      <c r="R25" s="596">
        <v>-1227</v>
      </c>
      <c r="S25" s="599">
        <f t="shared" si="4"/>
        <v>10773</v>
      </c>
      <c r="T25" s="28">
        <f t="shared" si="5"/>
        <v>0</v>
      </c>
      <c r="U25" s="28">
        <f t="shared" si="6"/>
        <v>0</v>
      </c>
      <c r="V25" s="28">
        <f t="shared" si="7"/>
        <v>10773</v>
      </c>
      <c r="W25" s="31">
        <f t="shared" ref="W25:W88" si="11">+W24-V25</f>
        <v>8977</v>
      </c>
      <c r="X25" s="32">
        <f t="shared" si="9"/>
        <v>42940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-68363</v>
      </c>
      <c r="M26" s="86"/>
      <c r="N26" s="800"/>
      <c r="O26" s="87">
        <f t="shared" si="2"/>
        <v>0.15278770947239384</v>
      </c>
      <c r="P26" s="803"/>
      <c r="Q26" s="144">
        <f t="shared" si="3"/>
        <v>0</v>
      </c>
      <c r="R26" s="28">
        <v>-34400</v>
      </c>
      <c r="S26" s="28">
        <f t="shared" si="4"/>
        <v>0</v>
      </c>
      <c r="T26" s="28">
        <f t="shared" si="5"/>
        <v>0</v>
      </c>
      <c r="U26" s="28">
        <f t="shared" si="6"/>
        <v>0</v>
      </c>
      <c r="V26" s="28">
        <f t="shared" si="7"/>
        <v>0</v>
      </c>
      <c r="W26" s="31">
        <f t="shared" si="11"/>
        <v>8977</v>
      </c>
      <c r="X26" s="32">
        <f t="shared" si="9"/>
        <v>77340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-68363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28"/>
      <c r="S27" s="28">
        <f t="shared" si="4"/>
        <v>0</v>
      </c>
      <c r="T27" s="28">
        <f t="shared" si="5"/>
        <v>0</v>
      </c>
      <c r="U27" s="28">
        <f t="shared" si="6"/>
        <v>0</v>
      </c>
      <c r="V27" s="28">
        <f t="shared" si="7"/>
        <v>0</v>
      </c>
      <c r="W27" s="31">
        <f t="shared" si="11"/>
        <v>8977</v>
      </c>
      <c r="X27" s="32">
        <f t="shared" si="9"/>
        <v>77340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-68363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28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8977</v>
      </c>
      <c r="X28" s="32">
        <f t="shared" si="9"/>
        <v>77340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-68363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28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8977</v>
      </c>
      <c r="X29" s="32">
        <f t="shared" si="9"/>
        <v>77340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-68363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28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8977</v>
      </c>
      <c r="X30" s="32">
        <f t="shared" si="9"/>
        <v>77340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-68363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28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8977</v>
      </c>
      <c r="X31" s="32">
        <f t="shared" si="9"/>
        <v>77340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-68363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28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8977</v>
      </c>
      <c r="X32" s="32">
        <f t="shared" si="9"/>
        <v>77340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-68363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28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8977</v>
      </c>
      <c r="X33" s="32">
        <f t="shared" si="9"/>
        <v>77340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-68363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28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8977</v>
      </c>
      <c r="X34" s="32">
        <f t="shared" si="9"/>
        <v>77340</v>
      </c>
      <c r="Y34" s="806"/>
      <c r="Z34" s="112">
        <v>100000</v>
      </c>
      <c r="AA34" s="113">
        <f>AD5-Z34</f>
        <v>-95542</v>
      </c>
      <c r="AB34" s="113">
        <f>Z34+AA34</f>
        <v>4458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-68363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28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8977</v>
      </c>
      <c r="X35" s="32">
        <f>W35-L35</f>
        <v>77340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-68363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28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8977</v>
      </c>
      <c r="X36" s="32">
        <f t="shared" si="9"/>
        <v>77340</v>
      </c>
      <c r="Y36" s="117" t="s">
        <v>60</v>
      </c>
      <c r="Z36" s="113">
        <f>Z34*57%</f>
        <v>56999.999999999993</v>
      </c>
      <c r="AA36" s="113">
        <f>AD3-Z36</f>
        <v>-52541.999999999993</v>
      </c>
      <c r="AB36" s="113">
        <f>Z36+AA36</f>
        <v>4458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-68363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28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8977</v>
      </c>
      <c r="X37" s="32">
        <f t="shared" si="9"/>
        <v>77340</v>
      </c>
      <c r="Y37" s="117" t="s">
        <v>94</v>
      </c>
      <c r="Z37" s="113">
        <f>+Z35+Z36</f>
        <v>100000</v>
      </c>
      <c r="AA37" s="113">
        <f>SUM(AA35:AA36)</f>
        <v>-95542</v>
      </c>
      <c r="AB37" s="113">
        <f>Z37+AA37</f>
        <v>4458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0</v>
      </c>
      <c r="I38" s="26"/>
      <c r="J38" s="26"/>
      <c r="K38" s="27">
        <f t="shared" si="0"/>
        <v>0</v>
      </c>
      <c r="L38" s="28">
        <f>+L37-K38</f>
        <v>-68363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28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8977</v>
      </c>
      <c r="X38" s="32">
        <f t="shared" si="9"/>
        <v>77340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-68363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28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8977</v>
      </c>
      <c r="X39" s="32">
        <f t="shared" si="9"/>
        <v>77340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-68363</v>
      </c>
      <c r="M40" s="29"/>
      <c r="N40" s="799"/>
      <c r="O40" s="30"/>
      <c r="P40" s="802"/>
      <c r="Q40" s="31"/>
      <c r="R40" s="28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8977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-68363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28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8977</v>
      </c>
      <c r="X41" s="32">
        <f t="shared" si="9"/>
        <v>77340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-68363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28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8977</v>
      </c>
      <c r="X42" s="32">
        <f t="shared" si="9"/>
        <v>77340</v>
      </c>
      <c r="Y42" s="74" t="s">
        <v>96</v>
      </c>
      <c r="Z42" s="75">
        <v>35500</v>
      </c>
      <c r="AA42" s="129">
        <f>+H7+H8+H17+H18+H19+H22+H32+H33+H43+H44+H45+H53</f>
        <v>21354</v>
      </c>
      <c r="AB42" s="129">
        <f>+I7+I8+I17+I18+I19+I22+I32+I33+I43+I44+I45+I53</f>
        <v>14646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-68363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28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8977</v>
      </c>
      <c r="X43" s="32">
        <f t="shared" si="9"/>
        <v>77340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-68363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28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8977</v>
      </c>
      <c r="X44" s="32">
        <f t="shared" si="9"/>
        <v>77340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-68363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28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8977</v>
      </c>
      <c r="X45" s="32">
        <f t="shared" si="9"/>
        <v>77340</v>
      </c>
      <c r="Y45" s="131" t="s">
        <v>98</v>
      </c>
      <c r="Z45" s="132">
        <v>9600</v>
      </c>
      <c r="AA45" s="133">
        <f>+H12+H13+H37+H38</f>
        <v>7866</v>
      </c>
      <c r="AB45" s="133">
        <f>+I12+I13+I37+I38</f>
        <v>1734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58">
        <v>10000</v>
      </c>
      <c r="I46" s="26"/>
      <c r="J46" s="26"/>
      <c r="K46" s="27">
        <f t="shared" si="0"/>
        <v>10000</v>
      </c>
      <c r="L46" s="28">
        <f>+L45-K46</f>
        <v>-78363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596">
        <v>-1022</v>
      </c>
      <c r="S46" s="597">
        <f t="shared" si="4"/>
        <v>8978</v>
      </c>
      <c r="T46" s="28">
        <f t="shared" si="5"/>
        <v>0</v>
      </c>
      <c r="U46" s="28">
        <f t="shared" si="6"/>
        <v>0</v>
      </c>
      <c r="V46" s="28">
        <f t="shared" si="7"/>
        <v>8978</v>
      </c>
      <c r="W46" s="31">
        <f t="shared" si="11"/>
        <v>-1</v>
      </c>
      <c r="X46" s="32">
        <f t="shared" si="9"/>
        <v>78362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-78363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-1</v>
      </c>
      <c r="X47" s="32">
        <f t="shared" si="9"/>
        <v>78362</v>
      </c>
      <c r="Y47" s="57">
        <v>20000</v>
      </c>
      <c r="Z47" s="89">
        <v>4586</v>
      </c>
      <c r="AA47" s="35"/>
      <c r="AB47" s="57">
        <f>57000-AA60</f>
        <v>52542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-78363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-1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-78363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-1</v>
      </c>
      <c r="X49" s="32">
        <f t="shared" si="9"/>
        <v>78362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-78363</v>
      </c>
      <c r="M50" s="95"/>
      <c r="N50" s="804">
        <f>SUM(K50:K55)</f>
        <v>24000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-1</v>
      </c>
      <c r="X50" s="32">
        <f t="shared" si="9"/>
        <v>78362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58">
        <v>15000</v>
      </c>
      <c r="J51" s="26"/>
      <c r="K51" s="444">
        <f t="shared" si="0"/>
        <v>15000</v>
      </c>
      <c r="L51" s="28">
        <f t="shared" si="1"/>
        <v>-93363</v>
      </c>
      <c r="M51" s="234"/>
      <c r="N51" s="799"/>
      <c r="O51" s="184"/>
      <c r="P51" s="802"/>
      <c r="Q51" s="31"/>
      <c r="R51" s="31">
        <v>-15000</v>
      </c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11"/>
        <v>-1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-93363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-1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58">
        <v>2000</v>
      </c>
      <c r="I53" s="26"/>
      <c r="J53" s="26"/>
      <c r="K53" s="27">
        <f t="shared" si="0"/>
        <v>2000</v>
      </c>
      <c r="L53" s="28">
        <f>+L52-K53</f>
        <v>-95363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>
        <v>-2000</v>
      </c>
      <c r="S53" s="28">
        <f t="shared" si="4"/>
        <v>0</v>
      </c>
      <c r="T53" s="28">
        <f t="shared" si="5"/>
        <v>0</v>
      </c>
      <c r="U53" s="28">
        <f t="shared" si="6"/>
        <v>0</v>
      </c>
      <c r="V53" s="28">
        <f t="shared" si="7"/>
        <v>0</v>
      </c>
      <c r="W53" s="31">
        <f t="shared" si="11"/>
        <v>-1</v>
      </c>
      <c r="X53" s="32">
        <f t="shared" si="9"/>
        <v>95362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-95363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-1</v>
      </c>
      <c r="X54" s="32">
        <f t="shared" si="9"/>
        <v>95362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58">
        <v>7000</v>
      </c>
      <c r="J55" s="143"/>
      <c r="K55" s="27">
        <f t="shared" si="0"/>
        <v>7000</v>
      </c>
      <c r="L55" s="28">
        <f t="shared" si="1"/>
        <v>-102363</v>
      </c>
      <c r="M55" s="86"/>
      <c r="N55" s="800"/>
      <c r="O55" s="87">
        <f t="shared" si="12"/>
        <v>0.7</v>
      </c>
      <c r="P55" s="803"/>
      <c r="Q55" s="97">
        <f t="shared" si="13"/>
        <v>0</v>
      </c>
      <c r="R55" s="31">
        <v>-7000</v>
      </c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31">
        <f t="shared" si="11"/>
        <v>-1</v>
      </c>
      <c r="X55" s="119">
        <f t="shared" si="9"/>
        <v>102362</v>
      </c>
      <c r="Y55" s="807">
        <f>Z8</f>
        <v>41919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-102363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-1</v>
      </c>
      <c r="X56" s="119">
        <f t="shared" si="9"/>
        <v>102362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-102363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-1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-102363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-1</v>
      </c>
      <c r="X58" s="408"/>
      <c r="Y58" s="180" t="s">
        <v>7</v>
      </c>
      <c r="Z58" s="181">
        <f>+AB4</f>
        <v>38482</v>
      </c>
      <c r="AA58" s="182">
        <f>+AB3</f>
        <v>77946</v>
      </c>
      <c r="AB58" s="182">
        <f>Z12</f>
        <v>15000</v>
      </c>
      <c r="AC58" s="181">
        <f>AB10</f>
        <v>0</v>
      </c>
      <c r="AD58" s="183">
        <f>SUM(Z58:AC58)</f>
        <v>131428</v>
      </c>
      <c r="AE58" s="185">
        <v>90000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-102363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-1</v>
      </c>
      <c r="X59" s="408"/>
      <c r="Y59" s="180" t="s">
        <v>17</v>
      </c>
      <c r="Z59" s="182">
        <f>+AC4</f>
        <v>118305</v>
      </c>
      <c r="AA59" s="182">
        <f>AC3</f>
        <v>125429</v>
      </c>
      <c r="AB59" s="182">
        <f>Z11</f>
        <v>45000</v>
      </c>
      <c r="AC59" s="181">
        <v>0</v>
      </c>
      <c r="AD59" s="183">
        <f>SUM(Z59:AC59)</f>
        <v>288734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-19775.666666666686</v>
      </c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-102363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-1</v>
      </c>
      <c r="X60" s="408"/>
      <c r="Y60" s="180" t="s">
        <v>112</v>
      </c>
      <c r="Z60" s="181">
        <f>+AD4+AH11</f>
        <v>0</v>
      </c>
      <c r="AA60" s="182">
        <f>+AD3+AH10</f>
        <v>4458</v>
      </c>
      <c r="AB60" s="191">
        <v>0</v>
      </c>
      <c r="AC60" s="181">
        <v>0</v>
      </c>
      <c r="AD60" s="183">
        <f>SUM(Z60:AC60)</f>
        <v>4458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-102363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-1</v>
      </c>
      <c r="X61" s="408"/>
      <c r="Y61" s="193" t="s">
        <v>113</v>
      </c>
      <c r="Z61" s="194">
        <f>SUM(Z58:Z60)</f>
        <v>156787</v>
      </c>
      <c r="AA61" s="194">
        <f>SUM(AA58:AA60)</f>
        <v>207833</v>
      </c>
      <c r="AB61" s="194">
        <f>SUM(AB58:AB60)</f>
        <v>60000</v>
      </c>
      <c r="AC61" s="194">
        <f>AB10</f>
        <v>0</v>
      </c>
      <c r="AD61" s="195">
        <f>SUM(AD58:AD60)</f>
        <v>424620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-102363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-1</v>
      </c>
      <c r="X62" s="408"/>
      <c r="Y62" s="199" t="s">
        <v>114</v>
      </c>
      <c r="Z62" s="200">
        <f>(Z58/$Z$28+(Z59/$Z$27)+(Z60/$Z$29))</f>
        <v>157217.7824146183</v>
      </c>
      <c r="AA62" s="200">
        <f>(AA58/$Z$28+(AA59/$Z$27)+(AA60/$Z$29))</f>
        <v>208398.96424546692</v>
      </c>
      <c r="AB62" s="200">
        <f>(AB58/$Z$28)+(AB59/$Z$27)</f>
        <v>60164.795198097854</v>
      </c>
      <c r="AC62" s="200">
        <f>AB9</f>
        <v>0</v>
      </c>
      <c r="AD62" s="201">
        <f>(AD58/$Z$28+(AD59/$Z$27)+(AD60/$Z$29))</f>
        <v>425781.54185818305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-102363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-1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-102363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-1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-102363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-1</v>
      </c>
      <c r="X65" s="408"/>
      <c r="Y65" s="371" t="s">
        <v>115</v>
      </c>
      <c r="Z65" s="484"/>
      <c r="AA65" s="203">
        <v>104852.31025000001</v>
      </c>
      <c r="AB65" s="204"/>
      <c r="AC65" s="204"/>
      <c r="AD65" s="205"/>
      <c r="AE65" s="32">
        <v>108797.23749999999</v>
      </c>
      <c r="AF65" s="53">
        <f>+AA65-AE65</f>
        <v>-3944.9272499999788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-102363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-1</v>
      </c>
      <c r="X66" s="408"/>
      <c r="Y66" s="814" t="s">
        <v>116</v>
      </c>
      <c r="Z66" s="815"/>
      <c r="AA66" s="203">
        <v>99422.821960000001</v>
      </c>
      <c r="AB66" s="208"/>
      <c r="AC66" s="208"/>
      <c r="AD66" s="209"/>
      <c r="AE66" s="13">
        <v>52014.378240000005</v>
      </c>
      <c r="AF66" s="53">
        <f>+AA66-AE66</f>
        <v>47408.443719999996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-102363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-1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-102363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-1</v>
      </c>
      <c r="X68" s="211"/>
      <c r="Y68" s="814" t="s">
        <v>188</v>
      </c>
      <c r="Z68" s="815"/>
      <c r="AA68" s="207">
        <f>Z9*Z30+AC61</f>
        <v>424618.86738177401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-102363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-1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-102363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-1</v>
      </c>
      <c r="X70" s="211"/>
      <c r="Y70" s="213"/>
      <c r="Z70" s="232">
        <f>+Z61-2200</f>
        <v>154587</v>
      </c>
      <c r="AA70" s="213"/>
      <c r="AB70" s="213"/>
      <c r="AC70" s="213"/>
      <c r="AD70" s="233">
        <v>491197</v>
      </c>
      <c r="AE70" s="233">
        <f>+AD70-(Z61+AA61)</f>
        <v>126577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-102363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-1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-102363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-1</v>
      </c>
      <c r="X72" s="211"/>
      <c r="Y72" s="214" t="s">
        <v>47</v>
      </c>
      <c r="Z72" s="215">
        <f>Z8</f>
        <v>41919</v>
      </c>
      <c r="AA72" s="818" t="s">
        <v>118</v>
      </c>
      <c r="AB72" s="818"/>
      <c r="AC72" s="818"/>
      <c r="AD72" s="216">
        <v>15.75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8.25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-102363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-1</v>
      </c>
      <c r="X73" s="211"/>
      <c r="Y73" s="214" t="s">
        <v>119</v>
      </c>
      <c r="Z73" s="480">
        <f>AD72</f>
        <v>15.75</v>
      </c>
      <c r="AA73" s="594" t="s">
        <v>120</v>
      </c>
      <c r="AB73" s="594"/>
      <c r="AC73" s="594"/>
      <c r="AD73" s="219">
        <f>24-AD72</f>
        <v>8.25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62545.454545454544</v>
      </c>
      <c r="AO73" s="373">
        <f>AN73*AM72/24</f>
        <v>21500</v>
      </c>
      <c r="AP73" s="19">
        <f>21500*AD72/24</f>
        <v>14109.375</v>
      </c>
      <c r="AQ73" s="19">
        <f>21500-AP73</f>
        <v>7390.625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-102363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-1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595" t="s">
        <v>127</v>
      </c>
      <c r="AK74" s="819"/>
      <c r="AL74" s="819"/>
      <c r="AM74" s="20" t="s">
        <v>232</v>
      </c>
      <c r="AN74" s="19">
        <f>Z79-AN73</f>
        <v>224262.54545454547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-102363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-1</v>
      </c>
      <c r="X75" s="211"/>
      <c r="Y75" s="595" t="s">
        <v>121</v>
      </c>
      <c r="Z75" s="595" t="s">
        <v>122</v>
      </c>
      <c r="AA75" s="595" t="s">
        <v>123</v>
      </c>
      <c r="AB75" s="820" t="s">
        <v>124</v>
      </c>
      <c r="AC75" s="821"/>
      <c r="AD75" s="822"/>
      <c r="AE75" s="595" t="s">
        <v>125</v>
      </c>
      <c r="AF75" s="595" t="s">
        <v>126</v>
      </c>
      <c r="AG75" s="149"/>
      <c r="AH75" s="595" t="s">
        <v>121</v>
      </c>
      <c r="AI75" s="595"/>
      <c r="AJ75" s="214" t="s">
        <v>7</v>
      </c>
      <c r="AK75" s="236">
        <f>((+AD78-AA78)/$AD$73)*24</f>
        <v>127880.72727272726</v>
      </c>
      <c r="AL75" s="236">
        <f>AK75</f>
        <v>127880.72727272726</v>
      </c>
      <c r="AM75" s="20" t="s">
        <v>7</v>
      </c>
      <c r="AN75" s="19">
        <f>AD58</f>
        <v>131428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-102363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-1</v>
      </c>
      <c r="X76" s="211"/>
      <c r="Y76" s="595"/>
      <c r="Z76" s="595"/>
      <c r="AA76" s="595"/>
      <c r="AB76" s="595"/>
      <c r="AC76" s="595"/>
      <c r="AD76" s="595"/>
      <c r="AE76" s="595"/>
      <c r="AF76" s="595"/>
      <c r="AG76" s="149"/>
      <c r="AH76" s="595"/>
      <c r="AI76" s="595"/>
      <c r="AJ76" s="214" t="s">
        <v>6</v>
      </c>
      <c r="AK76" s="236">
        <f>((+AD79-AA79)/$AD$73)*24</f>
        <v>317492.36363636365</v>
      </c>
      <c r="AL76" s="236">
        <f>+AK76</f>
        <v>317492.36363636365</v>
      </c>
      <c r="AM76" s="464"/>
      <c r="AN76" s="19">
        <f>SUM(AN73:AN75)</f>
        <v>418236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-102363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-1</v>
      </c>
      <c r="X77" s="211"/>
      <c r="Y77" s="595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595"/>
      <c r="AI77" s="78"/>
      <c r="AJ77" s="214" t="s">
        <v>8</v>
      </c>
      <c r="AK77" s="236">
        <f>((+AD80-AA80)/$AD$73)*24</f>
        <v>8404.363636363636</v>
      </c>
      <c r="AL77" s="236">
        <f>AK77</f>
        <v>8404.363636363636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-102363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-1</v>
      </c>
      <c r="X78" s="211"/>
      <c r="Y78" s="214" t="s">
        <v>7</v>
      </c>
      <c r="Z78" s="224">
        <v>133354</v>
      </c>
      <c r="AA78" s="225">
        <v>87469</v>
      </c>
      <c r="AB78" s="226">
        <f t="shared" ref="AB78:AC80" si="22">+Z58</f>
        <v>38482</v>
      </c>
      <c r="AC78" s="226">
        <f t="shared" si="22"/>
        <v>77946</v>
      </c>
      <c r="AD78" s="226">
        <f>+AB78+AC78+AB58+AC58</f>
        <v>131428</v>
      </c>
      <c r="AE78" s="519">
        <f>+((AD58/24)*$AD$73)+AA78</f>
        <v>132647.375</v>
      </c>
      <c r="AF78" s="227">
        <f>+AE78-AD78</f>
        <v>1219.375</v>
      </c>
      <c r="AG78" s="212"/>
      <c r="AH78" s="214" t="s">
        <v>7</v>
      </c>
      <c r="AI78" s="446">
        <f>+AA78</f>
        <v>87469</v>
      </c>
      <c r="AK78" s="231">
        <f>+SUM(AK75:AK77)</f>
        <v>453777.45454545459</v>
      </c>
      <c r="AL78" s="231">
        <f>+SUM(AL75:AL77)</f>
        <v>453777.45454545459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-102363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-1</v>
      </c>
      <c r="X79" s="211"/>
      <c r="Y79" s="214" t="s">
        <v>6</v>
      </c>
      <c r="Z79" s="224">
        <v>286808</v>
      </c>
      <c r="AA79" s="225">
        <v>179596</v>
      </c>
      <c r="AB79" s="226">
        <f t="shared" si="22"/>
        <v>118305</v>
      </c>
      <c r="AC79" s="226">
        <f t="shared" si="22"/>
        <v>125429</v>
      </c>
      <c r="AD79" s="226">
        <f>+AB79+AC79+AB59</f>
        <v>288734</v>
      </c>
      <c r="AE79" s="519">
        <f>+((AD59/24)*$AD$73)+AA79</f>
        <v>278848.3125</v>
      </c>
      <c r="AF79" s="227">
        <f>+AE79-AD79</f>
        <v>-9885.6875</v>
      </c>
      <c r="AG79" s="212"/>
      <c r="AH79" s="214" t="s">
        <v>6</v>
      </c>
      <c r="AI79" s="446">
        <f>+AA79</f>
        <v>179596</v>
      </c>
      <c r="AJ79" s="53"/>
      <c r="AK79" s="481">
        <v>536741</v>
      </c>
      <c r="AL79" s="481">
        <f>AK79-AK78</f>
        <v>82963.545454545412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-102363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-1</v>
      </c>
      <c r="X80" s="211"/>
      <c r="Y80" s="214" t="s">
        <v>8</v>
      </c>
      <c r="Z80" s="224">
        <v>4458</v>
      </c>
      <c r="AA80" s="225">
        <v>1569</v>
      </c>
      <c r="AB80" s="226">
        <f t="shared" si="22"/>
        <v>0</v>
      </c>
      <c r="AC80" s="226">
        <f t="shared" si="22"/>
        <v>4458</v>
      </c>
      <c r="AD80" s="226">
        <f>+AB80+AC80</f>
        <v>4458</v>
      </c>
      <c r="AE80" s="519">
        <f>+((AD60/24)*$AD$73)+AA80</f>
        <v>3101.4375</v>
      </c>
      <c r="AF80" s="227">
        <f>+AE80-AD80</f>
        <v>-1356.5625</v>
      </c>
      <c r="AG80" s="149"/>
      <c r="AH80" s="214" t="s">
        <v>8</v>
      </c>
      <c r="AI80" s="447">
        <f>+AA80</f>
        <v>1569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-102363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-1</v>
      </c>
      <c r="X81" s="211"/>
      <c r="Y81" s="228" t="s">
        <v>130</v>
      </c>
      <c r="Z81" s="229">
        <f t="shared" ref="Z81:AE81" si="23">SUM(Z78:Z80)</f>
        <v>424620</v>
      </c>
      <c r="AA81" s="230">
        <f t="shared" si="23"/>
        <v>268634</v>
      </c>
      <c r="AB81" s="229">
        <f t="shared" si="23"/>
        <v>156787</v>
      </c>
      <c r="AC81" s="229">
        <f t="shared" si="23"/>
        <v>207833</v>
      </c>
      <c r="AD81" s="229">
        <f t="shared" si="23"/>
        <v>424620</v>
      </c>
      <c r="AE81" s="229">
        <f t="shared" si="23"/>
        <v>414597.125</v>
      </c>
      <c r="AF81" s="227">
        <f>+SUM(AF78:AF80)</f>
        <v>-10022.875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-102363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-1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-102363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-1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-102363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-1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-102363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-1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-102363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-1</v>
      </c>
      <c r="Y86" s="14" t="s">
        <v>177</v>
      </c>
      <c r="Z86" s="336" t="s">
        <v>178</v>
      </c>
      <c r="AA86" s="337">
        <f>+AA81</f>
        <v>268634</v>
      </c>
      <c r="AB86" s="337">
        <f>AA87-AA86</f>
        <v>3555.7291666666861</v>
      </c>
      <c r="AC86" s="42">
        <f>AB86*24/5.5</f>
        <v>15515.909090909176</v>
      </c>
      <c r="AD86" s="338">
        <f>AC86+353111</f>
        <v>368626.90909090918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-102363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-1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84477.000000000029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-102363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-1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-102363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-1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-102363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-1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-102363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-1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-102363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-1</v>
      </c>
      <c r="Y92" s="882" t="s">
        <v>158</v>
      </c>
      <c r="Z92" s="586" t="s">
        <v>283</v>
      </c>
      <c r="AA92" s="587">
        <f>SUMIF($D$2:$D$57,"domiciliario",$I$2:$I$103)</f>
        <v>29586</v>
      </c>
      <c r="AB92" s="587">
        <f>SUMIF($D$2:$D$57,"domiciliario",$T$2:$T$103)</f>
        <v>29586</v>
      </c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-102363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-1</v>
      </c>
      <c r="Y93" s="883"/>
      <c r="Z93" s="588" t="s">
        <v>284</v>
      </c>
      <c r="AA93" s="589">
        <f>SUMIF($D$2:$D$57,"industrial",$I$2:$I$103)</f>
        <v>0</v>
      </c>
      <c r="AB93" s="589">
        <f>SUMIF($D$2:$D$57,"industrial",$T$2:$T$103)</f>
        <v>0</v>
      </c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-102363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-1</v>
      </c>
      <c r="Y94" s="883"/>
      <c r="Z94" s="588" t="s">
        <v>80</v>
      </c>
      <c r="AA94" s="589">
        <f>SUMIF($D$2:$D$57,"gnv",$I$2:$I$103)</f>
        <v>312</v>
      </c>
      <c r="AB94" s="589">
        <f>SUMIF($D$2:$D$57,"gnv",$T$2:$T$103)</f>
        <v>312</v>
      </c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-102363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-1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34234</v>
      </c>
      <c r="AB95" s="589">
        <f>SUMIF($D$2:$D$57,"termico",$T$2:$T$103)+SUMIF($D$2:$D$57,"electrico",$T$2:$T$103)+SUMIF($D$2:$D$57,"térmico",$T$2:$T$103)</f>
        <v>8584</v>
      </c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-102363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-1</v>
      </c>
      <c r="Y96" s="884"/>
      <c r="Z96" s="590" t="s">
        <v>286</v>
      </c>
      <c r="AA96" s="591"/>
      <c r="AB96" s="591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-102363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-1</v>
      </c>
      <c r="Y97" s="825" t="s">
        <v>154</v>
      </c>
      <c r="Z97" s="489" t="s">
        <v>283</v>
      </c>
      <c r="AA97" s="490">
        <f>SUMIF($D$2:$D$57,"domiciliario",$H$2:$H$103)</f>
        <v>32814</v>
      </c>
      <c r="AB97" s="490">
        <f>SUMIF($D$2:$D$57,"domiciliario",$S$2:$S$103)</f>
        <v>32814</v>
      </c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-102363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-1</v>
      </c>
      <c r="Y98" s="826"/>
      <c r="Z98" s="492" t="s">
        <v>284</v>
      </c>
      <c r="AA98" s="493">
        <f>SUMIF($D$2:$D$57,"industrial",$H$2:$H$103)</f>
        <v>34000</v>
      </c>
      <c r="AB98" s="493">
        <f>SUMIF($D$2:$D$57,"industrial",$S$2:$S$103)</f>
        <v>28729</v>
      </c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-102363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-1</v>
      </c>
      <c r="Y99" s="826"/>
      <c r="Z99" s="492" t="s">
        <v>80</v>
      </c>
      <c r="AA99" s="493">
        <f>SUMIF($D$2:$D$57,"gnv",$H$2:$H$103)</f>
        <v>0</v>
      </c>
      <c r="AB99" s="493">
        <f>SUMIF($D$2:$D$57,"gnv",$S$2:$S$103)</f>
        <v>0</v>
      </c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-102363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-1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93803</v>
      </c>
      <c r="AB100" s="493">
        <f>SUMIF($D$2:$D$57,"termico",$S$2:$S$103)+SUMIF($D$2:$D$57,"electrico",$S$2:$S$103)+SUMIF($D$2:$D$57,"térmico",$S$2:$S$103)</f>
        <v>56762</v>
      </c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-102363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-1</v>
      </c>
      <c r="Y101" s="827"/>
      <c r="Z101" s="5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-102363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-1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-102363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-1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customHeight="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160617</v>
      </c>
      <c r="I105" s="252">
        <f>+SUM(I2:I103)</f>
        <v>64132</v>
      </c>
      <c r="J105" s="252">
        <f>+SUM(J2:J103)</f>
        <v>34400</v>
      </c>
      <c r="K105" s="252">
        <f>SUM(K2:K103)</f>
        <v>259149</v>
      </c>
      <c r="L105" s="253">
        <f>+L103</f>
        <v>-102363</v>
      </c>
      <c r="M105" s="252">
        <f>SUM(M2:M103)</f>
        <v>0</v>
      </c>
      <c r="N105" s="252">
        <f>SUM(N2:N103)</f>
        <v>259149</v>
      </c>
      <c r="O105" s="252"/>
      <c r="P105" s="252">
        <f>SUM(P2:P103)</f>
        <v>0</v>
      </c>
      <c r="Q105" s="252">
        <f>SUM(Q2:Q103)</f>
        <v>0</v>
      </c>
      <c r="R105" s="252">
        <f>SUM(R2:R103)</f>
        <v>-101013</v>
      </c>
      <c r="S105" s="252">
        <f>SUM(S2:S103)</f>
        <v>118305</v>
      </c>
      <c r="T105" s="252">
        <f>+SUM(T2:T103)</f>
        <v>38482</v>
      </c>
      <c r="U105" s="252">
        <f>SUM(U2:U103)</f>
        <v>0</v>
      </c>
      <c r="V105" s="252">
        <f>SUM(V2:V103)</f>
        <v>156787</v>
      </c>
      <c r="W105" s="254">
        <f>+W103</f>
        <v>-1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>
        <f>J93-8783</f>
        <v>-8783</v>
      </c>
      <c r="S106" s="119"/>
      <c r="W106" s="119"/>
      <c r="Y106" s="830"/>
      <c r="Z106" s="5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575"/>
      <c r="I107" s="575"/>
      <c r="J107" s="575"/>
      <c r="K107" s="576"/>
      <c r="L107" s="287"/>
      <c r="M107" s="259"/>
      <c r="N107" s="259"/>
      <c r="O107" s="259"/>
      <c r="P107" s="259"/>
      <c r="Q107" s="116"/>
      <c r="R107" s="116"/>
      <c r="S107" s="119"/>
      <c r="T107" s="119"/>
      <c r="U107" s="116"/>
      <c r="V107" s="119"/>
      <c r="W107" s="119"/>
      <c r="Y107" s="502" t="s">
        <v>289</v>
      </c>
      <c r="Z107" s="503" t="s">
        <v>289</v>
      </c>
      <c r="AA107" s="504">
        <f>SUMIF($D$2:$D$57,"EXPORTACION",$J$2:$J$103)</f>
        <v>34400</v>
      </c>
      <c r="AB107" s="505">
        <f>SUMIF($D$2:$D$57,"EXPORTACION",$U$2:$U$103)</f>
        <v>0</v>
      </c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 t="s">
        <v>193</v>
      </c>
      <c r="I108" s="257">
        <v>15000</v>
      </c>
      <c r="J108" s="574">
        <f>I108/$I$111</f>
        <v>0.88235294117647056</v>
      </c>
      <c r="K108" s="119">
        <f>$W$50*J108</f>
        <v>-0.88235294117647056</v>
      </c>
      <c r="L108" s="119">
        <f>I108-K108</f>
        <v>15000.882352941177</v>
      </c>
      <c r="M108" s="259"/>
      <c r="N108" s="259"/>
      <c r="O108" s="259"/>
      <c r="P108" s="259"/>
      <c r="Q108" s="116"/>
      <c r="R108" s="116"/>
      <c r="S108" s="119"/>
      <c r="T108" s="116"/>
      <c r="U108" s="116"/>
      <c r="V108" s="121"/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/>
      <c r="I109" s="257"/>
      <c r="J109" s="574"/>
      <c r="K109" s="119"/>
      <c r="L109" s="119"/>
      <c r="M109" s="259"/>
      <c r="N109" s="259"/>
      <c r="O109" s="259"/>
      <c r="P109" s="259"/>
      <c r="Q109" s="116"/>
      <c r="R109" s="116"/>
      <c r="S109" s="119"/>
      <c r="T109" s="119"/>
      <c r="U109" s="116"/>
      <c r="V109" s="119"/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 t="s">
        <v>305</v>
      </c>
      <c r="I110" s="260">
        <v>2000</v>
      </c>
      <c r="J110" s="574">
        <f>I110/$I$111</f>
        <v>0.11764705882352941</v>
      </c>
      <c r="K110" s="119">
        <f>$W$50*J110</f>
        <v>-0.11764705882352941</v>
      </c>
      <c r="L110" s="119">
        <f>I110-K110</f>
        <v>2000.1176470588234</v>
      </c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573" t="s">
        <v>9</v>
      </c>
      <c r="I111" s="572">
        <f>SUM(I108:I110)</f>
        <v>17000</v>
      </c>
      <c r="J111" s="574">
        <f>SUM(J108:J110)</f>
        <v>1</v>
      </c>
      <c r="K111" s="265">
        <f>SUM(K108:K110)</f>
        <v>-1</v>
      </c>
      <c r="L111" s="265">
        <f>SUM(L108:L110)</f>
        <v>17001</v>
      </c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customHeight="1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113549</v>
      </c>
      <c r="J115" s="274">
        <f>SUM(H2:H5)+H14+SUM(H30:H32)+H35+18820</f>
        <v>37869</v>
      </c>
      <c r="K115" s="845">
        <f t="shared" ref="K115:K123" si="28">I115-J115</f>
        <v>75680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2000</v>
      </c>
      <c r="J116" s="275">
        <f>I116+0</f>
        <v>2000</v>
      </c>
      <c r="K116" s="839">
        <f t="shared" si="28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116013</v>
      </c>
      <c r="J117" s="275">
        <f>I117</f>
        <v>116013</v>
      </c>
      <c r="K117" s="839">
        <f t="shared" si="28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28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28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84443</v>
      </c>
      <c r="J120" s="275">
        <f>I120</f>
        <v>84443</v>
      </c>
      <c r="K120" s="839">
        <f t="shared" si="28"/>
        <v>0</v>
      </c>
      <c r="L120" s="840"/>
      <c r="AJ120" s="109" t="s">
        <v>155</v>
      </c>
      <c r="AK120" s="236">
        <v>169523</v>
      </c>
    </row>
    <row r="121" spans="1:40" ht="12.75" customHeight="1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7109</v>
      </c>
      <c r="J121" s="275">
        <f>I121+0</f>
        <v>7109</v>
      </c>
      <c r="K121" s="839">
        <f t="shared" si="28"/>
        <v>0</v>
      </c>
      <c r="L121" s="840"/>
      <c r="AJ121" s="354" t="s">
        <v>135</v>
      </c>
      <c r="AK121" s="355">
        <v>173236</v>
      </c>
    </row>
    <row r="122" spans="1:40" ht="12.75" customHeight="1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15191</v>
      </c>
      <c r="J122" s="277">
        <f>SUM(I15:I24)+SUM(I38:I43)+4379</f>
        <v>15191</v>
      </c>
      <c r="K122" s="839">
        <f t="shared" si="28"/>
        <v>0</v>
      </c>
      <c r="L122" s="840"/>
      <c r="M122" s="50"/>
      <c r="N122" s="50"/>
      <c r="O122" s="50"/>
      <c r="P122" s="50"/>
      <c r="AJ122" s="109"/>
      <c r="AK122" s="236"/>
    </row>
    <row r="123" spans="1:40" ht="12.75" customHeight="1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28"/>
        <v>0</v>
      </c>
      <c r="L123" s="840"/>
      <c r="AJ123" s="354"/>
      <c r="AK123" s="355"/>
    </row>
    <row r="124" spans="1:40" ht="13.5" customHeight="1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customHeight="1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customHeight="1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customHeight="1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ht="12.75" customHeight="1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ht="12.75" customHeight="1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29">I129-J129</f>
        <v>0</v>
      </c>
      <c r="L129" s="854"/>
    </row>
    <row r="130" spans="1:26" ht="12.75" customHeight="1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29"/>
        <v>1728</v>
      </c>
      <c r="L130" s="854"/>
    </row>
    <row r="131" spans="1:26" ht="12.75" customHeight="1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29"/>
        <v>0</v>
      </c>
      <c r="L131" s="854"/>
    </row>
    <row r="132" spans="1:26" ht="12.75" customHeight="1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29"/>
        <v>6594</v>
      </c>
      <c r="L132" s="854"/>
    </row>
    <row r="133" spans="1:26" ht="12.75" customHeight="1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29"/>
        <v>0</v>
      </c>
      <c r="L133" s="854"/>
    </row>
    <row r="134" spans="1:26" ht="12.75" customHeight="1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29"/>
        <v>0</v>
      </c>
      <c r="L134" s="854"/>
    </row>
    <row r="135" spans="1:26" ht="12.75" customHeight="1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29"/>
        <v>0</v>
      </c>
      <c r="L135" s="854"/>
    </row>
    <row r="136" spans="1:26" ht="12.75" customHeight="1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29"/>
        <v>0</v>
      </c>
      <c r="L136" s="854"/>
    </row>
    <row r="137" spans="1:26" ht="13.5" customHeight="1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29"/>
        <v>262</v>
      </c>
      <c r="L137" s="854"/>
      <c r="X137" s="20"/>
      <c r="Z137" s="20"/>
    </row>
    <row r="138" spans="1:26" ht="15.75" customHeight="1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customHeight="1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customHeight="1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ht="12.75" customHeight="1" x14ac:dyDescent="0.2">
      <c r="G141" s="864" t="s">
        <v>154</v>
      </c>
      <c r="H141" s="295" t="s">
        <v>28</v>
      </c>
      <c r="I141" s="296">
        <f t="shared" ref="I141:K151" si="30">I115+I128</f>
        <v>113549</v>
      </c>
      <c r="J141" s="296">
        <f t="shared" si="30"/>
        <v>37869</v>
      </c>
      <c r="K141" s="867">
        <f t="shared" si="30"/>
        <v>75680</v>
      </c>
      <c r="L141" s="868"/>
      <c r="X141" s="20"/>
      <c r="Z141" s="20"/>
    </row>
    <row r="142" spans="1:26" ht="12.75" customHeight="1" x14ac:dyDescent="0.2">
      <c r="C142" s="20"/>
      <c r="F142" s="20"/>
      <c r="G142" s="865"/>
      <c r="H142" s="297" t="s">
        <v>80</v>
      </c>
      <c r="I142" s="298">
        <f t="shared" si="30"/>
        <v>2000</v>
      </c>
      <c r="J142" s="298">
        <f t="shared" si="30"/>
        <v>2000</v>
      </c>
      <c r="K142" s="869">
        <f t="shared" si="30"/>
        <v>0</v>
      </c>
      <c r="L142" s="870"/>
      <c r="X142" s="20"/>
      <c r="Z142" s="20"/>
    </row>
    <row r="143" spans="1:26" ht="12.75" customHeight="1" x14ac:dyDescent="0.2">
      <c r="G143" s="865"/>
      <c r="H143" s="297" t="s">
        <v>61</v>
      </c>
      <c r="I143" s="298">
        <f t="shared" si="30"/>
        <v>117741</v>
      </c>
      <c r="J143" s="298">
        <f t="shared" si="30"/>
        <v>116013</v>
      </c>
      <c r="K143" s="869">
        <f t="shared" si="30"/>
        <v>1728</v>
      </c>
      <c r="L143" s="870"/>
      <c r="X143" s="20"/>
      <c r="Z143" s="20"/>
    </row>
    <row r="144" spans="1:26" ht="12.75" customHeight="1" x14ac:dyDescent="0.2">
      <c r="G144" s="865"/>
      <c r="H144" s="297" t="s">
        <v>156</v>
      </c>
      <c r="I144" s="298">
        <f t="shared" si="30"/>
        <v>14000</v>
      </c>
      <c r="J144" s="298">
        <f t="shared" si="30"/>
        <v>14000</v>
      </c>
      <c r="K144" s="869">
        <f t="shared" si="30"/>
        <v>0</v>
      </c>
      <c r="L144" s="870"/>
      <c r="X144" s="20"/>
      <c r="Z144" s="20"/>
    </row>
    <row r="145" spans="3:26" ht="13.5" customHeight="1" thickBot="1" x14ac:dyDescent="0.25">
      <c r="G145" s="866"/>
      <c r="H145" s="299" t="s">
        <v>157</v>
      </c>
      <c r="I145" s="300">
        <f t="shared" si="30"/>
        <v>67705</v>
      </c>
      <c r="J145" s="300">
        <f t="shared" si="30"/>
        <v>61111</v>
      </c>
      <c r="K145" s="871">
        <f t="shared" si="30"/>
        <v>6594</v>
      </c>
      <c r="L145" s="872"/>
      <c r="X145" s="20"/>
      <c r="Z145" s="20"/>
    </row>
    <row r="146" spans="3:26" ht="12.75" customHeight="1" x14ac:dyDescent="0.2">
      <c r="G146" s="879" t="s">
        <v>158</v>
      </c>
      <c r="H146" s="295" t="s">
        <v>28</v>
      </c>
      <c r="I146" s="296">
        <f t="shared" si="30"/>
        <v>84458</v>
      </c>
      <c r="J146" s="296">
        <f t="shared" si="30"/>
        <v>84458</v>
      </c>
      <c r="K146" s="867">
        <f t="shared" si="30"/>
        <v>0</v>
      </c>
      <c r="L146" s="868"/>
      <c r="X146" s="20"/>
      <c r="Z146" s="20"/>
    </row>
    <row r="147" spans="3:26" ht="12.75" customHeight="1" x14ac:dyDescent="0.2">
      <c r="G147" s="880"/>
      <c r="H147" s="297" t="s">
        <v>80</v>
      </c>
      <c r="I147" s="301">
        <f t="shared" si="30"/>
        <v>7109</v>
      </c>
      <c r="J147" s="301">
        <f t="shared" si="30"/>
        <v>7109</v>
      </c>
      <c r="K147" s="869">
        <f t="shared" si="30"/>
        <v>0</v>
      </c>
      <c r="L147" s="870"/>
      <c r="X147" s="20"/>
      <c r="Z147" s="20"/>
    </row>
    <row r="148" spans="3:26" ht="12.75" customHeight="1" x14ac:dyDescent="0.2">
      <c r="G148" s="880"/>
      <c r="H148" s="297" t="s">
        <v>61</v>
      </c>
      <c r="I148" s="301">
        <f t="shared" si="30"/>
        <v>15191</v>
      </c>
      <c r="J148" s="301">
        <f t="shared" si="30"/>
        <v>15191</v>
      </c>
      <c r="K148" s="869">
        <f t="shared" si="30"/>
        <v>0</v>
      </c>
      <c r="L148" s="870"/>
      <c r="X148" s="20"/>
      <c r="Z148" s="20"/>
    </row>
    <row r="149" spans="3:26" ht="12.75" customHeight="1" x14ac:dyDescent="0.2">
      <c r="G149" s="880"/>
      <c r="H149" s="297" t="s">
        <v>156</v>
      </c>
      <c r="I149" s="301">
        <f t="shared" si="30"/>
        <v>38756</v>
      </c>
      <c r="J149" s="301">
        <f t="shared" si="30"/>
        <v>38756</v>
      </c>
      <c r="K149" s="869">
        <f t="shared" si="30"/>
        <v>0</v>
      </c>
      <c r="L149" s="870"/>
      <c r="X149" s="20"/>
      <c r="Z149" s="20"/>
    </row>
    <row r="150" spans="3:26" ht="13.5" customHeight="1" thickBot="1" x14ac:dyDescent="0.25">
      <c r="G150" s="881"/>
      <c r="H150" s="299" t="s">
        <v>157</v>
      </c>
      <c r="I150" s="302">
        <f t="shared" si="30"/>
        <v>1700</v>
      </c>
      <c r="J150" s="302">
        <f t="shared" si="30"/>
        <v>1438</v>
      </c>
      <c r="K150" s="871">
        <f t="shared" si="30"/>
        <v>262</v>
      </c>
      <c r="L150" s="872"/>
      <c r="X150" s="20"/>
      <c r="Z150" s="20"/>
    </row>
    <row r="151" spans="3:26" ht="15.75" customHeight="1" thickBot="1" x14ac:dyDescent="0.25">
      <c r="G151" s="847" t="s">
        <v>162</v>
      </c>
      <c r="H151" s="873"/>
      <c r="I151" s="303">
        <f t="shared" si="30"/>
        <v>300000</v>
      </c>
      <c r="J151" s="303">
        <f t="shared" si="30"/>
        <v>108136</v>
      </c>
      <c r="K151" s="874">
        <f>I151-J151</f>
        <v>191864</v>
      </c>
      <c r="L151" s="873"/>
      <c r="X151" s="20"/>
      <c r="Z151" s="20"/>
    </row>
    <row r="152" spans="3:26" ht="15.75" customHeight="1" thickBot="1" x14ac:dyDescent="0.3">
      <c r="G152" s="875" t="s">
        <v>163</v>
      </c>
      <c r="H152" s="876"/>
      <c r="I152" s="304">
        <f>SUM(I141:I150)</f>
        <v>462209</v>
      </c>
      <c r="J152" s="304">
        <f>SUM(J141:J150)</f>
        <v>377945</v>
      </c>
      <c r="K152" s="877">
        <f>SUM(K141:L150)</f>
        <v>84264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J158" s="18"/>
      <c r="L158" s="80"/>
      <c r="R158" s="18"/>
      <c r="S158" s="18"/>
      <c r="T158" s="80"/>
      <c r="X158" s="20"/>
      <c r="Z158" s="20"/>
    </row>
    <row r="159" spans="3:26" x14ac:dyDescent="0.2">
      <c r="C159" s="20"/>
      <c r="F159" s="20"/>
      <c r="J159" s="18"/>
      <c r="L159" s="80"/>
      <c r="R159" s="19">
        <v>0</v>
      </c>
      <c r="S159" s="19">
        <v>2413</v>
      </c>
      <c r="T159" s="80"/>
      <c r="X159" s="20"/>
      <c r="Z159" s="20"/>
    </row>
    <row r="160" spans="3:26" x14ac:dyDescent="0.2">
      <c r="C160" s="20"/>
      <c r="F160" s="20"/>
      <c r="J160" s="18"/>
      <c r="L160" s="80"/>
      <c r="R160" s="19">
        <v>0</v>
      </c>
      <c r="S160" s="19">
        <v>0</v>
      </c>
      <c r="T160" s="80"/>
      <c r="X160" s="20"/>
      <c r="Z160" s="20"/>
    </row>
    <row r="161" spans="3:26" x14ac:dyDescent="0.2">
      <c r="C161" s="20"/>
      <c r="F161" s="20"/>
      <c r="H161" s="20"/>
      <c r="I161" s="20"/>
      <c r="J161" s="20"/>
      <c r="R161" s="19">
        <v>-153</v>
      </c>
      <c r="S161" s="19">
        <v>1347</v>
      </c>
      <c r="X161" s="20"/>
      <c r="Z161" s="20"/>
    </row>
    <row r="162" spans="3:26" x14ac:dyDescent="0.2">
      <c r="C162" s="20"/>
      <c r="F162" s="20"/>
      <c r="H162" s="20"/>
      <c r="I162" s="20"/>
      <c r="J162" s="20"/>
      <c r="L162" s="20">
        <v>4339</v>
      </c>
      <c r="R162" s="19">
        <v>-767</v>
      </c>
      <c r="S162" s="19">
        <v>0</v>
      </c>
      <c r="X162" s="20"/>
      <c r="Z162" s="20"/>
    </row>
    <row r="163" spans="3:26" x14ac:dyDescent="0.2">
      <c r="C163" s="20"/>
      <c r="F163" s="20"/>
      <c r="H163" s="20"/>
      <c r="I163" s="20"/>
      <c r="J163" s="20"/>
      <c r="R163" s="19"/>
      <c r="S163" s="19"/>
      <c r="X163" s="20"/>
      <c r="Z163" s="20"/>
    </row>
    <row r="164" spans="3:26" x14ac:dyDescent="0.2">
      <c r="C164" s="20"/>
      <c r="F164" s="20"/>
      <c r="H164" s="20"/>
      <c r="I164" s="20"/>
      <c r="J164" s="20"/>
      <c r="R164" s="19"/>
      <c r="S164" s="19"/>
      <c r="X164" s="20"/>
      <c r="Z164" s="20"/>
    </row>
    <row r="165" spans="3:26" x14ac:dyDescent="0.2">
      <c r="C165" s="20"/>
      <c r="F165" s="20"/>
      <c r="H165" s="20"/>
      <c r="I165" s="20"/>
      <c r="J165" s="20"/>
      <c r="X165" s="20"/>
      <c r="Z165" s="20"/>
    </row>
    <row r="166" spans="3:26" x14ac:dyDescent="0.2">
      <c r="C166" s="20"/>
      <c r="F166" s="20"/>
      <c r="H166" s="20"/>
      <c r="I166" s="20"/>
      <c r="J166" s="20"/>
      <c r="X166" s="20"/>
      <c r="Z166" s="20"/>
    </row>
    <row r="167" spans="3:26" x14ac:dyDescent="0.2">
      <c r="C167" s="20"/>
      <c r="F167" s="20"/>
      <c r="H167" s="20"/>
      <c r="I167" s="20"/>
      <c r="J167" s="20"/>
      <c r="Q167" s="461"/>
      <c r="R167" s="80"/>
      <c r="X167" s="20"/>
      <c r="Z167" s="20"/>
    </row>
    <row r="168" spans="3:26" x14ac:dyDescent="0.2">
      <c r="C168" s="20"/>
      <c r="F168" s="20"/>
      <c r="H168" s="20"/>
      <c r="I168" s="20"/>
      <c r="J168" s="20"/>
      <c r="Q168" s="461"/>
      <c r="R168" s="80"/>
      <c r="X168" s="20"/>
      <c r="Z168" s="20"/>
    </row>
    <row r="169" spans="3:26" x14ac:dyDescent="0.2">
      <c r="C169" s="20"/>
      <c r="F169" s="20"/>
      <c r="H169" s="20"/>
      <c r="I169" s="20"/>
      <c r="J169" s="20"/>
      <c r="Q169" s="461"/>
      <c r="R169" s="80"/>
      <c r="X169" s="20"/>
      <c r="Z169" s="20"/>
    </row>
    <row r="170" spans="3:26" x14ac:dyDescent="0.2">
      <c r="C170" s="20"/>
      <c r="F170" s="20"/>
      <c r="H170" s="20"/>
      <c r="I170" s="20"/>
      <c r="J170" s="20"/>
      <c r="X170" s="20"/>
      <c r="Z170" s="20"/>
    </row>
    <row r="171" spans="3:26" x14ac:dyDescent="0.2">
      <c r="C171" s="20"/>
      <c r="F171" s="20"/>
      <c r="H171" s="20"/>
      <c r="I171" s="20"/>
      <c r="J171" s="20"/>
      <c r="X171" s="20"/>
      <c r="Z171" s="20"/>
    </row>
    <row r="172" spans="3:26" x14ac:dyDescent="0.2">
      <c r="C172" s="20"/>
      <c r="F172" s="20"/>
      <c r="H172" s="20"/>
      <c r="I172" s="20"/>
      <c r="J172" s="20"/>
      <c r="X172" s="20"/>
      <c r="Z172" s="20"/>
    </row>
    <row r="173" spans="3:26" x14ac:dyDescent="0.2">
      <c r="C173" s="20"/>
      <c r="F173" s="20"/>
      <c r="H173" s="20"/>
      <c r="I173" s="20"/>
      <c r="J173" s="20"/>
      <c r="X173" s="20"/>
      <c r="Z173" s="20"/>
    </row>
    <row r="174" spans="3:26" x14ac:dyDescent="0.2">
      <c r="H174" s="20"/>
      <c r="I174" s="20"/>
      <c r="J174" s="20"/>
    </row>
    <row r="175" spans="3:26" x14ac:dyDescent="0.2">
      <c r="H175" s="20"/>
      <c r="I175" s="20"/>
      <c r="J175" s="20"/>
    </row>
    <row r="176" spans="3:26" x14ac:dyDescent="0.2">
      <c r="H176" s="20"/>
      <c r="I176" s="20"/>
      <c r="J176" s="20"/>
    </row>
    <row r="177" spans="8:10" x14ac:dyDescent="0.2">
      <c r="H177" s="20"/>
      <c r="I177" s="20"/>
      <c r="J177" s="20"/>
    </row>
  </sheetData>
  <autoFilter ref="A1:AN152">
    <filterColumn colId="27" showButton="0"/>
    <filterColumn colId="28" showButton="0"/>
    <filterColumn colId="29" showButton="0"/>
  </autoFilter>
  <mergeCells count="87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A113:A114"/>
    <mergeCell ref="B113:B114"/>
    <mergeCell ref="G113:H113"/>
    <mergeCell ref="I113:L113"/>
    <mergeCell ref="K114:L114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G125:H125"/>
    <mergeCell ref="K125:L125"/>
    <mergeCell ref="G126:H126"/>
    <mergeCell ref="I126:L126"/>
    <mergeCell ref="K127:L127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</mergeCells>
  <conditionalFormatting sqref="AA78">
    <cfRule type="cellIs" dxfId="159" priority="3" operator="lessThan">
      <formula>$AA$78</formula>
    </cfRule>
    <cfRule type="cellIs" dxfId="158" priority="5" operator="greaterThan">
      <formula>$AE$78</formula>
    </cfRule>
  </conditionalFormatting>
  <conditionalFormatting sqref="AA79">
    <cfRule type="cellIs" dxfId="157" priority="4" operator="greaterThan">
      <formula>$AE$79</formula>
    </cfRule>
  </conditionalFormatting>
  <conditionalFormatting sqref="AA80">
    <cfRule type="cellIs" dxfId="156" priority="2" operator="greaterThan">
      <formula>$AE$79</formula>
    </cfRule>
  </conditionalFormatting>
  <conditionalFormatting sqref="AU4:AU23">
    <cfRule type="cellIs" dxfId="155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002060"/>
  </sheetPr>
  <dimension ref="A1:AU177"/>
  <sheetViews>
    <sheetView topLeftCell="R1" zoomScaleNormal="100" workbookViewId="0">
      <selection activeCell="AD3" sqref="AD3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hidden="1" customWidth="1"/>
    <col min="11" max="12" width="14.7109375" style="20" hidden="1" customWidth="1"/>
    <col min="13" max="13" width="7.28515625" style="20" hidden="1" customWidth="1"/>
    <col min="14" max="14" width="13.5703125" style="20" hidden="1" customWidth="1"/>
    <col min="15" max="15" width="14.7109375" style="20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58">
        <v>3000</v>
      </c>
      <c r="I2" s="26">
        <v>0</v>
      </c>
      <c r="J2" s="26"/>
      <c r="K2" s="27">
        <f>SUM(H2:J2)</f>
        <v>3000</v>
      </c>
      <c r="L2" s="28">
        <f>AA4-K2</f>
        <v>153786</v>
      </c>
      <c r="M2" s="29"/>
      <c r="N2" s="798">
        <f>SUM(K2:K26)</f>
        <v>225149</v>
      </c>
      <c r="O2" s="30">
        <f>+K2/$N$2</f>
        <v>1.3324509547011091E-2</v>
      </c>
      <c r="P2" s="801"/>
      <c r="Q2" s="28">
        <f>IF($P$2=0,0,(-($P$2*O2)+K2)-K2)</f>
        <v>0</v>
      </c>
      <c r="R2" s="28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153786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604" t="s">
        <v>31</v>
      </c>
      <c r="AE2" s="604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58">
        <v>1100</v>
      </c>
      <c r="J3" s="26"/>
      <c r="K3" s="27">
        <f t="shared" ref="K3:K73" si="0">SUM(H3:J3)</f>
        <v>1100</v>
      </c>
      <c r="L3" s="28">
        <f t="shared" ref="L3:L66" si="1">+L2-K3</f>
        <v>152686</v>
      </c>
      <c r="M3" s="29"/>
      <c r="N3" s="799"/>
      <c r="O3" s="30">
        <f t="shared" ref="O3:O29" si="2">+K3/$N$2</f>
        <v>4.8856535005707335E-3</v>
      </c>
      <c r="P3" s="802"/>
      <c r="Q3" s="28">
        <f t="shared" ref="Q3:Q29" si="3">IF($P$2=0,0,(-($P$2*O3)+K3)-K3)</f>
        <v>0</v>
      </c>
      <c r="R3" s="28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152686</v>
      </c>
      <c r="X3" s="32">
        <f t="shared" ref="X3:X56" si="9">W3-L3</f>
        <v>0</v>
      </c>
      <c r="Y3" s="37" t="s">
        <v>34</v>
      </c>
      <c r="Z3" s="38">
        <f>ROUND((Z13*57%),0)</f>
        <v>208411</v>
      </c>
      <c r="AA3" s="39">
        <f>ROUND((+Z14*0.57),0)</f>
        <v>207833</v>
      </c>
      <c r="AB3" s="454">
        <v>78388</v>
      </c>
      <c r="AC3" s="455">
        <v>124987</v>
      </c>
      <c r="AD3" s="40">
        <v>4458</v>
      </c>
      <c r="AE3" s="41">
        <f>SUM(AB3:AD3)</f>
        <v>207833</v>
      </c>
      <c r="AF3" s="41">
        <f>AA3-AE3</f>
        <v>0</v>
      </c>
      <c r="AG3" s="42">
        <f>AA3-AB3-AC3-AD3</f>
        <v>0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58">
        <v>22400</v>
      </c>
      <c r="J4" s="26"/>
      <c r="K4" s="27">
        <f t="shared" si="0"/>
        <v>22400</v>
      </c>
      <c r="L4" s="28">
        <f t="shared" si="1"/>
        <v>130286</v>
      </c>
      <c r="M4" s="29"/>
      <c r="N4" s="799"/>
      <c r="O4" s="30">
        <f t="shared" si="2"/>
        <v>9.9489671284349476E-2</v>
      </c>
      <c r="P4" s="802"/>
      <c r="Q4" s="28">
        <f t="shared" si="3"/>
        <v>0</v>
      </c>
      <c r="R4" s="28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130286</v>
      </c>
      <c r="X4" s="32">
        <f t="shared" si="9"/>
        <v>0</v>
      </c>
      <c r="Y4" s="37" t="s">
        <v>38</v>
      </c>
      <c r="Z4" s="38">
        <f>ROUND((Z13*43%),0)</f>
        <v>157222</v>
      </c>
      <c r="AA4" s="39">
        <f>ROUND((+Z14*0.43),0)</f>
        <v>156786</v>
      </c>
      <c r="AB4" s="43">
        <f>T105</f>
        <v>38482</v>
      </c>
      <c r="AC4" s="43">
        <f>S105</f>
        <v>118305</v>
      </c>
      <c r="AD4" s="40">
        <f>U105</f>
        <v>0</v>
      </c>
      <c r="AE4" s="41">
        <f>SUM(AB4:AD4)</f>
        <v>156787</v>
      </c>
      <c r="AF4" s="41">
        <f>AA4-AE4</f>
        <v>-1</v>
      </c>
      <c r="AG4" s="42">
        <f>AA4-AB4-AC4-AD4</f>
        <v>-1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58">
        <v>1200</v>
      </c>
      <c r="J5" s="26"/>
      <c r="K5" s="27">
        <f t="shared" si="0"/>
        <v>1200</v>
      </c>
      <c r="L5" s="28">
        <f t="shared" si="1"/>
        <v>129086</v>
      </c>
      <c r="M5" s="29"/>
      <c r="N5" s="799"/>
      <c r="O5" s="30">
        <f t="shared" si="2"/>
        <v>5.3298038188044359E-3</v>
      </c>
      <c r="P5" s="802"/>
      <c r="Q5" s="28">
        <f t="shared" si="3"/>
        <v>0</v>
      </c>
      <c r="R5" s="28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129086</v>
      </c>
      <c r="X5" s="32">
        <f t="shared" si="9"/>
        <v>0</v>
      </c>
      <c r="Y5" s="44" t="s">
        <v>41</v>
      </c>
      <c r="Z5" s="38">
        <f>SUM(Z3:Z4)</f>
        <v>365633</v>
      </c>
      <c r="AA5" s="45">
        <f>SUM(AA3:AA4)</f>
        <v>364619</v>
      </c>
      <c r="AB5" s="46">
        <f>SUM(AB3:AB4)</f>
        <v>116870</v>
      </c>
      <c r="AC5" s="41">
        <f>SUM(AC3:AC4)</f>
        <v>243292</v>
      </c>
      <c r="AD5" s="40">
        <f>SUM(AD3:AD4)</f>
        <v>4458</v>
      </c>
      <c r="AE5" s="41">
        <f>SUM(AB5:AD5)</f>
        <v>364620</v>
      </c>
      <c r="AF5" s="47">
        <f>SUM(AF3:AF4)</f>
        <v>-1</v>
      </c>
      <c r="AG5" s="47">
        <f>SUM(AG3:AG4)</f>
        <v>-1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58">
        <v>12000</v>
      </c>
      <c r="I6" s="26"/>
      <c r="J6" s="26"/>
      <c r="K6" s="27">
        <f t="shared" si="0"/>
        <v>12000</v>
      </c>
      <c r="L6" s="28">
        <f t="shared" si="1"/>
        <v>117086</v>
      </c>
      <c r="M6" s="29"/>
      <c r="N6" s="799"/>
      <c r="O6" s="30">
        <f t="shared" si="2"/>
        <v>5.3298038188044364E-2</v>
      </c>
      <c r="P6" s="802"/>
      <c r="Q6" s="28">
        <f t="shared" si="3"/>
        <v>0</v>
      </c>
      <c r="R6" s="2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117086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58">
        <f>1796+12370</f>
        <v>14166</v>
      </c>
      <c r="I7" s="558">
        <f>800+2430+604</f>
        <v>3834</v>
      </c>
      <c r="J7" s="26"/>
      <c r="K7" s="27">
        <f t="shared" si="0"/>
        <v>18000</v>
      </c>
      <c r="L7" s="28">
        <f t="shared" si="1"/>
        <v>99086</v>
      </c>
      <c r="M7" s="29"/>
      <c r="N7" s="799"/>
      <c r="O7" s="30">
        <f t="shared" si="2"/>
        <v>7.9947057282066539E-2</v>
      </c>
      <c r="P7" s="802"/>
      <c r="Q7" s="28">
        <f t="shared" si="3"/>
        <v>0</v>
      </c>
      <c r="R7" s="28"/>
      <c r="S7" s="28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99086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58">
        <v>2500</v>
      </c>
      <c r="I8" s="26"/>
      <c r="J8" s="26"/>
      <c r="K8" s="27">
        <f t="shared" si="0"/>
        <v>2500</v>
      </c>
      <c r="L8" s="28">
        <f t="shared" si="1"/>
        <v>96586</v>
      </c>
      <c r="M8" s="29"/>
      <c r="N8" s="799"/>
      <c r="O8" s="30">
        <f t="shared" si="2"/>
        <v>1.1103757955842576E-2</v>
      </c>
      <c r="P8" s="802"/>
      <c r="Q8" s="28">
        <f t="shared" si="3"/>
        <v>0</v>
      </c>
      <c r="R8" s="28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96586</v>
      </c>
      <c r="X8" s="32">
        <f t="shared" si="9"/>
        <v>0</v>
      </c>
      <c r="Y8" s="14" t="s">
        <v>47</v>
      </c>
      <c r="Z8" s="54">
        <v>41919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58">
        <v>1148</v>
      </c>
      <c r="I9" s="518">
        <v>1052</v>
      </c>
      <c r="J9" s="26"/>
      <c r="K9" s="27">
        <f t="shared" si="0"/>
        <v>2200</v>
      </c>
      <c r="L9" s="28">
        <f t="shared" si="1"/>
        <v>94386</v>
      </c>
      <c r="M9" s="29"/>
      <c r="N9" s="799"/>
      <c r="O9" s="30">
        <f t="shared" si="2"/>
        <v>9.771307001141467E-3</v>
      </c>
      <c r="P9" s="802"/>
      <c r="Q9" s="28">
        <f t="shared" si="3"/>
        <v>0</v>
      </c>
      <c r="R9" s="28"/>
      <c r="S9" s="28">
        <f t="shared" si="4"/>
        <v>1148</v>
      </c>
      <c r="T9" s="28">
        <f t="shared" si="5"/>
        <v>1052</v>
      </c>
      <c r="U9" s="28">
        <f t="shared" si="6"/>
        <v>0</v>
      </c>
      <c r="V9" s="28">
        <f t="shared" si="7"/>
        <v>2200</v>
      </c>
      <c r="W9" s="31">
        <f t="shared" si="8"/>
        <v>94386</v>
      </c>
      <c r="X9" s="32">
        <f t="shared" si="9"/>
        <v>0</v>
      </c>
      <c r="Y9" s="14" t="s">
        <v>189</v>
      </c>
      <c r="Z9" s="58">
        <v>425800</v>
      </c>
      <c r="AA9" s="59">
        <f>Z9*14.65/14.73</f>
        <v>423487.44059742021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-165542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58">
        <v>20000</v>
      </c>
      <c r="I10" s="558"/>
      <c r="J10" s="26"/>
      <c r="K10" s="27">
        <f t="shared" si="0"/>
        <v>20000</v>
      </c>
      <c r="L10" s="28">
        <f t="shared" si="1"/>
        <v>74386</v>
      </c>
      <c r="M10" s="29"/>
      <c r="N10" s="799"/>
      <c r="O10" s="30">
        <f t="shared" si="2"/>
        <v>8.8830063646740606E-2</v>
      </c>
      <c r="P10" s="802"/>
      <c r="Q10" s="28">
        <f t="shared" si="3"/>
        <v>0</v>
      </c>
      <c r="R10" s="28">
        <v>-2045</v>
      </c>
      <c r="S10" s="28">
        <f t="shared" si="4"/>
        <v>17955</v>
      </c>
      <c r="T10" s="28">
        <f t="shared" si="5"/>
        <v>0</v>
      </c>
      <c r="U10" s="28">
        <f t="shared" si="6"/>
        <v>0</v>
      </c>
      <c r="V10" s="28">
        <f t="shared" si="7"/>
        <v>17955</v>
      </c>
      <c r="W10" s="31">
        <f t="shared" si="8"/>
        <v>76431</v>
      </c>
      <c r="X10" s="32">
        <f t="shared" si="9"/>
        <v>2045</v>
      </c>
      <c r="Y10" s="14" t="s">
        <v>191</v>
      </c>
      <c r="Z10" s="58">
        <f>ROUND((Z9*Z30),0)</f>
        <v>424619</v>
      </c>
      <c r="AA10" s="59">
        <f>Z10*14.65/14.73</f>
        <v>422312.8547182621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58">
        <v>18000</v>
      </c>
      <c r="I11" s="26"/>
      <c r="J11" s="26"/>
      <c r="K11" s="27">
        <f t="shared" si="0"/>
        <v>18000</v>
      </c>
      <c r="L11" s="28">
        <f t="shared" si="1"/>
        <v>56386</v>
      </c>
      <c r="M11" s="29"/>
      <c r="N11" s="799"/>
      <c r="O11" s="30">
        <f t="shared" si="2"/>
        <v>7.9947057282066539E-2</v>
      </c>
      <c r="P11" s="802"/>
      <c r="Q11" s="28">
        <f t="shared" si="3"/>
        <v>0</v>
      </c>
      <c r="R11" s="28">
        <v>-1840</v>
      </c>
      <c r="S11" s="28">
        <f t="shared" si="4"/>
        <v>16160</v>
      </c>
      <c r="T11" s="28">
        <f t="shared" si="5"/>
        <v>0</v>
      </c>
      <c r="U11" s="28">
        <f t="shared" si="6"/>
        <v>0</v>
      </c>
      <c r="V11" s="28">
        <f t="shared" si="7"/>
        <v>16160</v>
      </c>
      <c r="W11" s="31">
        <f t="shared" si="8"/>
        <v>60271</v>
      </c>
      <c r="X11" s="32">
        <f t="shared" si="9"/>
        <v>3885</v>
      </c>
      <c r="Y11" s="14" t="s">
        <v>59</v>
      </c>
      <c r="Z11" s="58">
        <v>45000</v>
      </c>
      <c r="AA11" s="59">
        <f>ROUND(Z11/Z27,0)*14.65/14.73</f>
        <v>44880.916496945014</v>
      </c>
      <c r="AB11" s="35"/>
      <c r="AC11" s="65"/>
      <c r="AD11" s="64"/>
      <c r="AE11" s="60">
        <f>AE9*57%</f>
        <v>96899.999999999985</v>
      </c>
      <c r="AF11" s="60">
        <f>AD3-AE11</f>
        <v>-92441.999999999985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58">
        <v>3600</v>
      </c>
      <c r="I12" s="558"/>
      <c r="J12" s="26"/>
      <c r="K12" s="27">
        <f t="shared" si="0"/>
        <v>3600</v>
      </c>
      <c r="L12" s="28">
        <f t="shared" si="1"/>
        <v>52786</v>
      </c>
      <c r="M12" s="29"/>
      <c r="N12" s="799"/>
      <c r="O12" s="30">
        <f t="shared" si="2"/>
        <v>1.5989411456413308E-2</v>
      </c>
      <c r="P12" s="802"/>
      <c r="Q12" s="28">
        <f t="shared" si="3"/>
        <v>0</v>
      </c>
      <c r="R12" s="28">
        <v>-368</v>
      </c>
      <c r="S12" s="28">
        <f t="shared" si="4"/>
        <v>3232</v>
      </c>
      <c r="T12" s="28">
        <f t="shared" si="5"/>
        <v>0</v>
      </c>
      <c r="U12" s="28">
        <f t="shared" si="6"/>
        <v>0</v>
      </c>
      <c r="V12" s="28">
        <f t="shared" si="7"/>
        <v>3232</v>
      </c>
      <c r="W12" s="31">
        <f t="shared" si="8"/>
        <v>57039</v>
      </c>
      <c r="X12" s="32">
        <f t="shared" si="9"/>
        <v>4253</v>
      </c>
      <c r="Y12" s="14" t="s">
        <v>64</v>
      </c>
      <c r="Z12" s="58">
        <v>15000</v>
      </c>
      <c r="AA12" s="59">
        <f>ROUND(Z12/Z28,0)*14.65/14.73</f>
        <v>14957.321792260693</v>
      </c>
      <c r="AB12" s="57">
        <f>Z12*57%</f>
        <v>8550</v>
      </c>
      <c r="AC12" s="65">
        <f>Z12*43%</f>
        <v>6450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58">
        <v>4266</v>
      </c>
      <c r="I13" s="558">
        <v>1734</v>
      </c>
      <c r="J13" s="26"/>
      <c r="K13" s="27">
        <f t="shared" si="0"/>
        <v>6000</v>
      </c>
      <c r="L13" s="28">
        <f t="shared" si="1"/>
        <v>46786</v>
      </c>
      <c r="M13" s="29"/>
      <c r="N13" s="799"/>
      <c r="O13" s="30">
        <f t="shared" si="2"/>
        <v>2.6649019094022182E-2</v>
      </c>
      <c r="P13" s="802"/>
      <c r="Q13" s="28">
        <f t="shared" si="3"/>
        <v>0</v>
      </c>
      <c r="R13" s="28">
        <v>-613</v>
      </c>
      <c r="S13" s="28">
        <v>4303</v>
      </c>
      <c r="T13" s="28">
        <v>1084</v>
      </c>
      <c r="U13" s="28">
        <f t="shared" si="6"/>
        <v>0</v>
      </c>
      <c r="V13" s="28">
        <f t="shared" si="7"/>
        <v>5387</v>
      </c>
      <c r="W13" s="31">
        <f t="shared" si="8"/>
        <v>51652</v>
      </c>
      <c r="X13" s="32">
        <f t="shared" si="9"/>
        <v>4866</v>
      </c>
      <c r="Y13" s="14" t="s">
        <v>67</v>
      </c>
      <c r="Z13" s="67">
        <f>Z14/Z30</f>
        <v>365633.23518173001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58">
        <v>16049</v>
      </c>
      <c r="I14" s="26">
        <v>0</v>
      </c>
      <c r="J14" s="26"/>
      <c r="K14" s="27">
        <f t="shared" si="0"/>
        <v>16049</v>
      </c>
      <c r="L14" s="28">
        <f t="shared" si="1"/>
        <v>30737</v>
      </c>
      <c r="M14" s="29"/>
      <c r="N14" s="799"/>
      <c r="O14" s="30">
        <f t="shared" si="2"/>
        <v>7.1281684573326995E-2</v>
      </c>
      <c r="P14" s="802"/>
      <c r="Q14" s="28">
        <f t="shared" si="3"/>
        <v>0</v>
      </c>
      <c r="R14" s="28">
        <v>-16049</v>
      </c>
      <c r="S14" s="28">
        <f t="shared" si="4"/>
        <v>0</v>
      </c>
      <c r="T14" s="28">
        <f t="shared" si="5"/>
        <v>0</v>
      </c>
      <c r="U14" s="28">
        <f t="shared" si="6"/>
        <v>0</v>
      </c>
      <c r="V14" s="28">
        <f t="shared" si="7"/>
        <v>0</v>
      </c>
      <c r="W14" s="31">
        <f t="shared" si="8"/>
        <v>51652</v>
      </c>
      <c r="X14" s="32">
        <f t="shared" si="9"/>
        <v>20915</v>
      </c>
      <c r="Y14" s="14" t="s">
        <v>70</v>
      </c>
      <c r="Z14" s="67">
        <f>+Z10-(Z11+Z12)</f>
        <v>364619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58">
        <v>17200</v>
      </c>
      <c r="I15" s="26"/>
      <c r="J15" s="26"/>
      <c r="K15" s="27">
        <f t="shared" si="0"/>
        <v>17200</v>
      </c>
      <c r="L15" s="28">
        <f t="shared" si="1"/>
        <v>13537</v>
      </c>
      <c r="M15" s="29"/>
      <c r="N15" s="799"/>
      <c r="O15" s="30">
        <f t="shared" si="2"/>
        <v>7.639385473619692E-2</v>
      </c>
      <c r="P15" s="802"/>
      <c r="Q15" s="28">
        <f t="shared" si="3"/>
        <v>0</v>
      </c>
      <c r="R15" s="28">
        <v>-17200</v>
      </c>
      <c r="S15" s="28">
        <f t="shared" si="4"/>
        <v>0</v>
      </c>
      <c r="T15" s="28">
        <f t="shared" si="5"/>
        <v>0</v>
      </c>
      <c r="U15" s="28">
        <f t="shared" si="6"/>
        <v>0</v>
      </c>
      <c r="V15" s="28">
        <f t="shared" si="7"/>
        <v>0</v>
      </c>
      <c r="W15" s="31">
        <f t="shared" si="8"/>
        <v>51652</v>
      </c>
      <c r="X15" s="32">
        <f t="shared" si="9"/>
        <v>38115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58">
        <v>20500</v>
      </c>
      <c r="I16" s="26"/>
      <c r="J16" s="26"/>
      <c r="K16" s="27">
        <f t="shared" si="0"/>
        <v>20500</v>
      </c>
      <c r="L16" s="28">
        <f t="shared" si="1"/>
        <v>-6963</v>
      </c>
      <c r="M16" s="29"/>
      <c r="N16" s="799"/>
      <c r="O16" s="30">
        <f t="shared" si="2"/>
        <v>9.1050815237909116E-2</v>
      </c>
      <c r="P16" s="802"/>
      <c r="Q16" s="28">
        <v>0</v>
      </c>
      <c r="R16" s="28">
        <v>-2096</v>
      </c>
      <c r="S16" s="28">
        <f t="shared" si="4"/>
        <v>18404</v>
      </c>
      <c r="T16" s="28">
        <f t="shared" si="5"/>
        <v>0</v>
      </c>
      <c r="U16" s="28">
        <f t="shared" si="6"/>
        <v>0</v>
      </c>
      <c r="V16" s="603">
        <f t="shared" si="7"/>
        <v>18404</v>
      </c>
      <c r="W16" s="31">
        <f t="shared" si="8"/>
        <v>33248</v>
      </c>
      <c r="X16" s="32">
        <f t="shared" si="9"/>
        <v>40211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58">
        <v>2688</v>
      </c>
      <c r="I17" s="558">
        <v>3000</v>
      </c>
      <c r="J17" s="26"/>
      <c r="K17" s="27">
        <f t="shared" si="0"/>
        <v>5688</v>
      </c>
      <c r="L17" s="28">
        <f t="shared" si="1"/>
        <v>-12651</v>
      </c>
      <c r="M17" s="29"/>
      <c r="N17" s="799"/>
      <c r="O17" s="30">
        <f t="shared" si="2"/>
        <v>2.5263270101133026E-2</v>
      </c>
      <c r="P17" s="802"/>
      <c r="Q17" s="28">
        <f t="shared" si="3"/>
        <v>0</v>
      </c>
      <c r="R17" s="28">
        <v>0</v>
      </c>
      <c r="S17" s="603">
        <f>IF(H17&lt;&gt;0,+H17+Q17+R17,0)-275+1926</f>
        <v>4339</v>
      </c>
      <c r="T17" s="28">
        <f>IF(I17&lt;&gt;0,+I17+Q17+R17,0)-307-767-1926</f>
        <v>0</v>
      </c>
      <c r="U17" s="28">
        <f t="shared" si="6"/>
        <v>0</v>
      </c>
      <c r="V17" s="28">
        <f t="shared" si="7"/>
        <v>4339</v>
      </c>
      <c r="W17" s="31">
        <f t="shared" si="8"/>
        <v>28909</v>
      </c>
      <c r="X17" s="32">
        <f t="shared" si="9"/>
        <v>41560</v>
      </c>
      <c r="AA17" s="35"/>
      <c r="AB17" s="790">
        <f>+Z61-Z24-((Z12+Z11)*0.43)</f>
        <v>-25799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58">
        <v>312</v>
      </c>
      <c r="J18" s="26"/>
      <c r="K18" s="27">
        <f t="shared" si="0"/>
        <v>312</v>
      </c>
      <c r="L18" s="28">
        <f t="shared" si="1"/>
        <v>-12963</v>
      </c>
      <c r="M18" s="29"/>
      <c r="N18" s="799"/>
      <c r="O18" s="30"/>
      <c r="P18" s="802"/>
      <c r="Q18" s="28">
        <f t="shared" si="3"/>
        <v>0</v>
      </c>
      <c r="R18" s="28">
        <v>0</v>
      </c>
      <c r="S18" s="28">
        <f t="shared" si="4"/>
        <v>0</v>
      </c>
      <c r="T18" s="28">
        <f t="shared" si="5"/>
        <v>312</v>
      </c>
      <c r="U18" s="28">
        <f t="shared" si="6"/>
        <v>0</v>
      </c>
      <c r="V18" s="28">
        <f t="shared" si="7"/>
        <v>312</v>
      </c>
      <c r="W18" s="31">
        <f t="shared" si="8"/>
        <v>28597</v>
      </c>
      <c r="X18" s="32"/>
      <c r="Y18" s="14" t="s">
        <v>77</v>
      </c>
      <c r="Z18" s="71">
        <f>ROUND(Z14*0.43,0)</f>
        <v>156786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>
        <v>0</v>
      </c>
      <c r="I19" s="26"/>
      <c r="J19" s="26"/>
      <c r="K19" s="27">
        <f t="shared" si="0"/>
        <v>0</v>
      </c>
      <c r="L19" s="28">
        <f t="shared" si="1"/>
        <v>-12963</v>
      </c>
      <c r="M19" s="29"/>
      <c r="N19" s="799"/>
      <c r="O19" s="30">
        <f t="shared" si="2"/>
        <v>0</v>
      </c>
      <c r="P19" s="802"/>
      <c r="Q19" s="28">
        <f t="shared" si="3"/>
        <v>0</v>
      </c>
      <c r="R19" s="28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28597</v>
      </c>
      <c r="X19" s="32">
        <f t="shared" si="9"/>
        <v>41560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58">
        <v>1500</v>
      </c>
      <c r="I20" s="26">
        <v>0</v>
      </c>
      <c r="J20" s="26"/>
      <c r="K20" s="27">
        <f t="shared" si="0"/>
        <v>1500</v>
      </c>
      <c r="L20" s="28">
        <f t="shared" si="1"/>
        <v>-14463</v>
      </c>
      <c r="M20" s="29"/>
      <c r="N20" s="799"/>
      <c r="O20" s="30">
        <f t="shared" si="2"/>
        <v>6.6622547735055455E-3</v>
      </c>
      <c r="P20" s="802"/>
      <c r="Q20" s="28">
        <f t="shared" si="3"/>
        <v>0</v>
      </c>
      <c r="R20" s="28">
        <v>-153</v>
      </c>
      <c r="S20" s="603">
        <f t="shared" si="4"/>
        <v>1347</v>
      </c>
      <c r="T20" s="28">
        <f t="shared" si="5"/>
        <v>0</v>
      </c>
      <c r="U20" s="28">
        <f t="shared" si="6"/>
        <v>0</v>
      </c>
      <c r="V20" s="28">
        <f t="shared" si="7"/>
        <v>1347</v>
      </c>
      <c r="W20" s="31">
        <f t="shared" si="8"/>
        <v>27250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-14463</v>
      </c>
      <c r="M21" s="29"/>
      <c r="N21" s="799"/>
      <c r="O21" s="30"/>
      <c r="P21" s="802"/>
      <c r="Q21" s="28">
        <f t="shared" si="3"/>
        <v>0</v>
      </c>
      <c r="R21" s="28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27250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/>
      <c r="I22" s="558">
        <v>7500</v>
      </c>
      <c r="J22" s="26"/>
      <c r="K22" s="27">
        <f t="shared" si="0"/>
        <v>7500</v>
      </c>
      <c r="L22" s="28">
        <f t="shared" si="1"/>
        <v>-21963</v>
      </c>
      <c r="M22" s="29"/>
      <c r="N22" s="799"/>
      <c r="O22" s="30">
        <f t="shared" si="2"/>
        <v>3.3311273867527726E-2</v>
      </c>
      <c r="P22" s="802"/>
      <c r="Q22" s="28">
        <f t="shared" si="3"/>
        <v>0</v>
      </c>
      <c r="R22" s="28"/>
      <c r="S22" s="28">
        <f t="shared" si="4"/>
        <v>0</v>
      </c>
      <c r="T22" s="28">
        <f t="shared" si="5"/>
        <v>7500</v>
      </c>
      <c r="U22" s="28">
        <f t="shared" si="6"/>
        <v>0</v>
      </c>
      <c r="V22" s="28">
        <f t="shared" si="7"/>
        <v>7500</v>
      </c>
      <c r="W22" s="31">
        <f t="shared" si="8"/>
        <v>19750</v>
      </c>
      <c r="X22" s="32">
        <f t="shared" si="9"/>
        <v>41713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-21963</v>
      </c>
      <c r="M23" s="29"/>
      <c r="N23" s="799"/>
      <c r="O23" s="30"/>
      <c r="P23" s="802"/>
      <c r="Q23" s="28">
        <f t="shared" si="3"/>
        <v>0</v>
      </c>
      <c r="R23" s="28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19750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-21963</v>
      </c>
      <c r="M24" s="29"/>
      <c r="N24" s="799"/>
      <c r="O24" s="30">
        <f t="shared" si="2"/>
        <v>0</v>
      </c>
      <c r="P24" s="802"/>
      <c r="Q24" s="28">
        <f t="shared" si="3"/>
        <v>0</v>
      </c>
      <c r="R24" s="28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19750</v>
      </c>
      <c r="X24" s="32">
        <f t="shared" si="9"/>
        <v>41713</v>
      </c>
      <c r="Y24" s="74" t="s">
        <v>169</v>
      </c>
      <c r="Z24" s="75">
        <f>+Z18+Z19</f>
        <v>156786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58">
        <v>12000</v>
      </c>
      <c r="I25" s="26"/>
      <c r="J25" s="26"/>
      <c r="K25" s="27">
        <f t="shared" si="0"/>
        <v>12000</v>
      </c>
      <c r="L25" s="28">
        <f t="shared" si="1"/>
        <v>-33963</v>
      </c>
      <c r="M25" s="29"/>
      <c r="N25" s="799"/>
      <c r="O25" s="30">
        <f t="shared" si="2"/>
        <v>5.3298038188044364E-2</v>
      </c>
      <c r="P25" s="802"/>
      <c r="Q25" s="28">
        <f t="shared" si="3"/>
        <v>0</v>
      </c>
      <c r="R25" s="28">
        <v>-1227</v>
      </c>
      <c r="S25" s="28">
        <f t="shared" si="4"/>
        <v>10773</v>
      </c>
      <c r="T25" s="28">
        <f t="shared" si="5"/>
        <v>0</v>
      </c>
      <c r="U25" s="28">
        <f t="shared" si="6"/>
        <v>0</v>
      </c>
      <c r="V25" s="28">
        <f t="shared" si="7"/>
        <v>10773</v>
      </c>
      <c r="W25" s="31">
        <f t="shared" ref="W25:W88" si="11">+W24-V25</f>
        <v>8977</v>
      </c>
      <c r="X25" s="32">
        <f t="shared" si="9"/>
        <v>42940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-68363</v>
      </c>
      <c r="M26" s="86"/>
      <c r="N26" s="800"/>
      <c r="O26" s="87">
        <f t="shared" si="2"/>
        <v>0.15278770947239384</v>
      </c>
      <c r="P26" s="803"/>
      <c r="Q26" s="28">
        <f t="shared" si="3"/>
        <v>0</v>
      </c>
      <c r="R26" s="28">
        <v>-34400</v>
      </c>
      <c r="S26" s="28">
        <f t="shared" si="4"/>
        <v>0</v>
      </c>
      <c r="T26" s="28">
        <f t="shared" si="5"/>
        <v>0</v>
      </c>
      <c r="U26" s="28">
        <f t="shared" si="6"/>
        <v>0</v>
      </c>
      <c r="V26" s="28">
        <f t="shared" si="7"/>
        <v>0</v>
      </c>
      <c r="W26" s="31">
        <f t="shared" si="11"/>
        <v>8977</v>
      </c>
      <c r="X26" s="32">
        <f t="shared" si="9"/>
        <v>77340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-68363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28"/>
      <c r="S27" s="28">
        <f t="shared" si="4"/>
        <v>0</v>
      </c>
      <c r="T27" s="28">
        <f t="shared" si="5"/>
        <v>0</v>
      </c>
      <c r="U27" s="28">
        <f t="shared" si="6"/>
        <v>0</v>
      </c>
      <c r="V27" s="28">
        <f t="shared" si="7"/>
        <v>0</v>
      </c>
      <c r="W27" s="31">
        <f t="shared" si="11"/>
        <v>8977</v>
      </c>
      <c r="X27" s="32">
        <f t="shared" si="9"/>
        <v>77340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-68363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28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8977</v>
      </c>
      <c r="X28" s="32">
        <f t="shared" si="9"/>
        <v>77340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-68363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28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8977</v>
      </c>
      <c r="X29" s="32">
        <f t="shared" si="9"/>
        <v>77340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-68363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28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8977</v>
      </c>
      <c r="X30" s="32">
        <f t="shared" si="9"/>
        <v>77340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-68363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28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8977</v>
      </c>
      <c r="X31" s="32">
        <f t="shared" si="9"/>
        <v>77340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-68363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28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8977</v>
      </c>
      <c r="X32" s="32">
        <f t="shared" si="9"/>
        <v>77340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-68363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28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8977</v>
      </c>
      <c r="X33" s="32">
        <f t="shared" si="9"/>
        <v>77340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-68363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28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8977</v>
      </c>
      <c r="X34" s="32">
        <f t="shared" si="9"/>
        <v>77340</v>
      </c>
      <c r="Y34" s="806"/>
      <c r="Z34" s="112">
        <v>100000</v>
      </c>
      <c r="AA34" s="113">
        <f>AD5-Z34</f>
        <v>-95542</v>
      </c>
      <c r="AB34" s="113">
        <f>Z34+AA34</f>
        <v>4458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-68363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28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8977</v>
      </c>
      <c r="X35" s="32">
        <f>W35-L35</f>
        <v>77340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-68363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28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8977</v>
      </c>
      <c r="X36" s="32">
        <f t="shared" si="9"/>
        <v>77340</v>
      </c>
      <c r="Y36" s="117" t="s">
        <v>60</v>
      </c>
      <c r="Z36" s="113">
        <f>Z34*57%</f>
        <v>56999.999999999993</v>
      </c>
      <c r="AA36" s="113">
        <f>AD3-Z36</f>
        <v>-52541.999999999993</v>
      </c>
      <c r="AB36" s="113">
        <f>Z36+AA36</f>
        <v>4458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-68363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28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8977</v>
      </c>
      <c r="X37" s="32">
        <f t="shared" si="9"/>
        <v>77340</v>
      </c>
      <c r="Y37" s="117" t="s">
        <v>94</v>
      </c>
      <c r="Z37" s="113">
        <f>+Z35+Z36</f>
        <v>100000</v>
      </c>
      <c r="AA37" s="113">
        <f>SUM(AA35:AA36)</f>
        <v>-95542</v>
      </c>
      <c r="AB37" s="113">
        <f>Z37+AA37</f>
        <v>4458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0</v>
      </c>
      <c r="I38" s="26"/>
      <c r="J38" s="26"/>
      <c r="K38" s="27">
        <f t="shared" si="0"/>
        <v>0</v>
      </c>
      <c r="L38" s="28">
        <f>+L37-K38</f>
        <v>-68363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28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8977</v>
      </c>
      <c r="X38" s="32">
        <f t="shared" si="9"/>
        <v>77340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-68363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28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8977</v>
      </c>
      <c r="X39" s="32">
        <f t="shared" si="9"/>
        <v>77340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-68363</v>
      </c>
      <c r="M40" s="29"/>
      <c r="N40" s="799"/>
      <c r="O40" s="30"/>
      <c r="P40" s="802"/>
      <c r="Q40" s="31"/>
      <c r="R40" s="28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8977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-68363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28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8977</v>
      </c>
      <c r="X41" s="32">
        <f t="shared" si="9"/>
        <v>77340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-68363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28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8977</v>
      </c>
      <c r="X42" s="32">
        <f t="shared" si="9"/>
        <v>77340</v>
      </c>
      <c r="Y42" s="74" t="s">
        <v>96</v>
      </c>
      <c r="Z42" s="75">
        <v>35500</v>
      </c>
      <c r="AA42" s="129">
        <f>+H7+H8+H17+H18+H19+H22+H32+H33+H43+H44+H45+H53</f>
        <v>21354</v>
      </c>
      <c r="AB42" s="129">
        <f>+I7+I8+I17+I18+I19+I22+I32+I33+I43+I44+I45+I53</f>
        <v>14646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-68363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28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8977</v>
      </c>
      <c r="X43" s="32">
        <f t="shared" si="9"/>
        <v>77340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-68363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28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8977</v>
      </c>
      <c r="X44" s="32">
        <f t="shared" si="9"/>
        <v>77340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-68363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28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8977</v>
      </c>
      <c r="X45" s="32">
        <f t="shared" si="9"/>
        <v>77340</v>
      </c>
      <c r="Y45" s="131" t="s">
        <v>98</v>
      </c>
      <c r="Z45" s="132">
        <v>9600</v>
      </c>
      <c r="AA45" s="133">
        <f>+H12+H13+H37+H38</f>
        <v>7866</v>
      </c>
      <c r="AB45" s="133">
        <f>+I12+I13+I37+I38</f>
        <v>1734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58">
        <v>10000</v>
      </c>
      <c r="I46" s="26"/>
      <c r="J46" s="26"/>
      <c r="K46" s="27">
        <f t="shared" si="0"/>
        <v>10000</v>
      </c>
      <c r="L46" s="28">
        <f>+L45-K46</f>
        <v>-78363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596">
        <v>-1022</v>
      </c>
      <c r="S46" s="28">
        <f t="shared" si="4"/>
        <v>8978</v>
      </c>
      <c r="T46" s="28">
        <f t="shared" si="5"/>
        <v>0</v>
      </c>
      <c r="U46" s="28">
        <f t="shared" si="6"/>
        <v>0</v>
      </c>
      <c r="V46" s="28">
        <f t="shared" si="7"/>
        <v>8978</v>
      </c>
      <c r="W46" s="31">
        <f t="shared" si="11"/>
        <v>-1</v>
      </c>
      <c r="X46" s="32">
        <f t="shared" si="9"/>
        <v>78362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-78363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-1</v>
      </c>
      <c r="X47" s="32">
        <f t="shared" si="9"/>
        <v>78362</v>
      </c>
      <c r="Y47" s="57">
        <v>20000</v>
      </c>
      <c r="Z47" s="89">
        <v>4586</v>
      </c>
      <c r="AA47" s="35"/>
      <c r="AB47" s="57">
        <f>57000-AA60</f>
        <v>52542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-78363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-1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-78363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-1</v>
      </c>
      <c r="X49" s="32">
        <f t="shared" si="9"/>
        <v>78362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-78363</v>
      </c>
      <c r="M50" s="95"/>
      <c r="N50" s="804">
        <f>SUM(K50:K55)</f>
        <v>24000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-1</v>
      </c>
      <c r="X50" s="32">
        <f t="shared" si="9"/>
        <v>78362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58">
        <v>15000</v>
      </c>
      <c r="J51" s="26"/>
      <c r="K51" s="444">
        <f t="shared" si="0"/>
        <v>15000</v>
      </c>
      <c r="L51" s="28">
        <f t="shared" si="1"/>
        <v>-93363</v>
      </c>
      <c r="M51" s="234"/>
      <c r="N51" s="799"/>
      <c r="O51" s="184"/>
      <c r="P51" s="802"/>
      <c r="Q51" s="31"/>
      <c r="R51" s="31">
        <v>-15000</v>
      </c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11"/>
        <v>-1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-93363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-1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58">
        <v>2000</v>
      </c>
      <c r="I53" s="26"/>
      <c r="J53" s="26"/>
      <c r="K53" s="27">
        <f t="shared" si="0"/>
        <v>2000</v>
      </c>
      <c r="L53" s="28">
        <f>+L52-K53</f>
        <v>-95363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>
        <v>-2000</v>
      </c>
      <c r="S53" s="28">
        <f t="shared" si="4"/>
        <v>0</v>
      </c>
      <c r="T53" s="28">
        <f t="shared" si="5"/>
        <v>0</v>
      </c>
      <c r="U53" s="28">
        <f t="shared" si="6"/>
        <v>0</v>
      </c>
      <c r="V53" s="28">
        <f t="shared" si="7"/>
        <v>0</v>
      </c>
      <c r="W53" s="31">
        <f t="shared" si="11"/>
        <v>-1</v>
      </c>
      <c r="X53" s="32">
        <f t="shared" si="9"/>
        <v>95362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-95363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-1</v>
      </c>
      <c r="X54" s="32">
        <f t="shared" si="9"/>
        <v>95362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58">
        <v>7000</v>
      </c>
      <c r="J55" s="143"/>
      <c r="K55" s="27">
        <f t="shared" si="0"/>
        <v>7000</v>
      </c>
      <c r="L55" s="28">
        <f t="shared" si="1"/>
        <v>-102363</v>
      </c>
      <c r="M55" s="86"/>
      <c r="N55" s="800"/>
      <c r="O55" s="87">
        <f t="shared" si="12"/>
        <v>0.7</v>
      </c>
      <c r="P55" s="803"/>
      <c r="Q55" s="97">
        <f t="shared" si="13"/>
        <v>0</v>
      </c>
      <c r="R55" s="31">
        <v>-7000</v>
      </c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31">
        <f t="shared" si="11"/>
        <v>-1</v>
      </c>
      <c r="X55" s="119">
        <f t="shared" si="9"/>
        <v>102362</v>
      </c>
      <c r="Y55" s="807">
        <f>Z8</f>
        <v>41919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-102363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-1</v>
      </c>
      <c r="X56" s="119">
        <f t="shared" si="9"/>
        <v>102362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-102363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-1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-102363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-1</v>
      </c>
      <c r="X58" s="408"/>
      <c r="Y58" s="180" t="s">
        <v>7</v>
      </c>
      <c r="Z58" s="181">
        <f>+AB4</f>
        <v>38482</v>
      </c>
      <c r="AA58" s="182">
        <f>+AB3</f>
        <v>78388</v>
      </c>
      <c r="AB58" s="182">
        <f>Z12</f>
        <v>15000</v>
      </c>
      <c r="AC58" s="181">
        <f>AB10</f>
        <v>0</v>
      </c>
      <c r="AD58" s="183">
        <f>SUM(Z58:AC58)</f>
        <v>131870</v>
      </c>
      <c r="AE58" s="185">
        <v>135029</v>
      </c>
      <c r="AF58" s="50">
        <f>AE58-AD58</f>
        <v>3159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-102363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-1</v>
      </c>
      <c r="X59" s="408"/>
      <c r="Y59" s="180" t="s">
        <v>17</v>
      </c>
      <c r="Z59" s="182">
        <f>+AC4</f>
        <v>118305</v>
      </c>
      <c r="AA59" s="182">
        <f>AC3</f>
        <v>124987</v>
      </c>
      <c r="AB59" s="182">
        <f>Z11</f>
        <v>45000</v>
      </c>
      <c r="AC59" s="181">
        <v>0</v>
      </c>
      <c r="AD59" s="183">
        <f>SUM(Z59:AC59)</f>
        <v>288292</v>
      </c>
      <c r="AE59" s="185">
        <v>300725</v>
      </c>
      <c r="AF59" s="50">
        <f>AE59-AD59</f>
        <v>12433</v>
      </c>
      <c r="AG59" s="51"/>
      <c r="AH59" s="51"/>
      <c r="AI59" s="51"/>
      <c r="AJ59" s="50"/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-102363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-1</v>
      </c>
      <c r="X60" s="408"/>
      <c r="Y60" s="180" t="s">
        <v>112</v>
      </c>
      <c r="Z60" s="181">
        <f>+AD4+AH11</f>
        <v>0</v>
      </c>
      <c r="AA60" s="182">
        <f>+AD3+AH10</f>
        <v>4458</v>
      </c>
      <c r="AB60" s="191">
        <v>0</v>
      </c>
      <c r="AC60" s="181">
        <v>0</v>
      </c>
      <c r="AD60" s="183">
        <f>SUM(Z60:AC60)</f>
        <v>4458</v>
      </c>
      <c r="AE60" s="185">
        <v>5005</v>
      </c>
      <c r="AF60" s="50">
        <f>AE60-AD60</f>
        <v>547</v>
      </c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-102363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-1</v>
      </c>
      <c r="X61" s="408"/>
      <c r="Y61" s="193" t="s">
        <v>113</v>
      </c>
      <c r="Z61" s="194">
        <f>SUM(Z58:Z60)</f>
        <v>156787</v>
      </c>
      <c r="AA61" s="194">
        <f>SUM(AA58:AA60)</f>
        <v>207833</v>
      </c>
      <c r="AB61" s="194">
        <f>SUM(AB58:AB60)</f>
        <v>60000</v>
      </c>
      <c r="AC61" s="194">
        <f>AB10</f>
        <v>0</v>
      </c>
      <c r="AD61" s="195">
        <f>SUM(AD58:AD60)</f>
        <v>424620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-102363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-1</v>
      </c>
      <c r="X62" s="408"/>
      <c r="Y62" s="199" t="s">
        <v>114</v>
      </c>
      <c r="Z62" s="200">
        <f>(Z58/$Z$28+(Z59/$Z$27)+(Z60/$Z$29))</f>
        <v>157217.7824146183</v>
      </c>
      <c r="AA62" s="200">
        <f>(AA58/$Z$28+(AA59/$Z$27)+(AA60/$Z$29))</f>
        <v>208398.86942285771</v>
      </c>
      <c r="AB62" s="200">
        <f>(AB58/$Z$28)+(AB59/$Z$27)</f>
        <v>60164.795198097854</v>
      </c>
      <c r="AC62" s="200">
        <f>AB9</f>
        <v>0</v>
      </c>
      <c r="AD62" s="201">
        <f>(AD58/$Z$28+(AD59/$Z$27)+(AD60/$Z$29))</f>
        <v>425781.44703557383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-102363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-1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-102363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-1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-102363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-1</v>
      </c>
      <c r="X65" s="408"/>
      <c r="Y65" s="371" t="s">
        <v>115</v>
      </c>
      <c r="Z65" s="484"/>
      <c r="AA65" s="203">
        <v>104852.31025000001</v>
      </c>
      <c r="AB65" s="204"/>
      <c r="AC65" s="204"/>
      <c r="AD65" s="205"/>
      <c r="AE65" s="32"/>
      <c r="AF65" s="53"/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-102363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-1</v>
      </c>
      <c r="X66" s="408"/>
      <c r="Y66" s="814" t="s">
        <v>116</v>
      </c>
      <c r="Z66" s="815"/>
      <c r="AA66" s="203">
        <v>99422.821960000001</v>
      </c>
      <c r="AB66" s="208"/>
      <c r="AC66" s="208"/>
      <c r="AD66" s="209"/>
      <c r="AE66" s="13"/>
      <c r="AF66" s="53"/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-102363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-1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-102363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-1</v>
      </c>
      <c r="X68" s="211"/>
      <c r="Y68" s="814" t="s">
        <v>188</v>
      </c>
      <c r="Z68" s="815"/>
      <c r="AA68" s="207">
        <f>Z9*Z30+AC61</f>
        <v>424618.86738177401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-102363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-1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-102363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-1</v>
      </c>
      <c r="X70" s="211"/>
      <c r="Y70" s="213"/>
      <c r="Z70" s="232">
        <f>+Z61-2200</f>
        <v>154587</v>
      </c>
      <c r="AA70" s="213"/>
      <c r="AB70" s="213"/>
      <c r="AC70" s="213"/>
      <c r="AD70" s="233">
        <v>491197</v>
      </c>
      <c r="AE70" s="233">
        <f>+AD70-(Z61+AA61)</f>
        <v>126577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-102363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-1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-102363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-1</v>
      </c>
      <c r="X72" s="211"/>
      <c r="Y72" s="214" t="s">
        <v>47</v>
      </c>
      <c r="Z72" s="215">
        <f>Z8</f>
        <v>41919</v>
      </c>
      <c r="AA72" s="818" t="s">
        <v>118</v>
      </c>
      <c r="AB72" s="818"/>
      <c r="AC72" s="818"/>
      <c r="AD72" s="216">
        <v>17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7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-102363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-1</v>
      </c>
      <c r="X73" s="211"/>
      <c r="Y73" s="214" t="s">
        <v>119</v>
      </c>
      <c r="Z73" s="480">
        <f>AD72</f>
        <v>17</v>
      </c>
      <c r="AA73" s="605" t="s">
        <v>120</v>
      </c>
      <c r="AB73" s="605"/>
      <c r="AC73" s="605"/>
      <c r="AD73" s="219">
        <f>24-AD72</f>
        <v>7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73714.28571428571</v>
      </c>
      <c r="AO73" s="373">
        <f>AN73*AM72/24</f>
        <v>21500</v>
      </c>
      <c r="AP73" s="19">
        <f>21500*AD72/24</f>
        <v>15229.166666666666</v>
      </c>
      <c r="AQ73" s="19">
        <f>21500-AP73</f>
        <v>6270.8333333333339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-102363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-1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606" t="s">
        <v>127</v>
      </c>
      <c r="AK74" s="819"/>
      <c r="AL74" s="819"/>
      <c r="AM74" s="20" t="s">
        <v>232</v>
      </c>
      <c r="AN74" s="19">
        <f>Z79-AN73</f>
        <v>215019.71428571429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-102363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-1</v>
      </c>
      <c r="X75" s="211"/>
      <c r="Y75" s="606" t="s">
        <v>121</v>
      </c>
      <c r="Z75" s="606" t="s">
        <v>122</v>
      </c>
      <c r="AA75" s="606" t="s">
        <v>123</v>
      </c>
      <c r="AB75" s="820" t="s">
        <v>124</v>
      </c>
      <c r="AC75" s="821"/>
      <c r="AD75" s="822"/>
      <c r="AE75" s="606" t="s">
        <v>125</v>
      </c>
      <c r="AF75" s="606" t="s">
        <v>126</v>
      </c>
      <c r="AG75" s="149"/>
      <c r="AH75" s="606" t="s">
        <v>121</v>
      </c>
      <c r="AI75" s="606"/>
      <c r="AJ75" s="214" t="s">
        <v>7</v>
      </c>
      <c r="AK75" s="236">
        <f>((+AD78-AA78)/$AD$73)*24</f>
        <v>129212.57142857143</v>
      </c>
      <c r="AL75" s="236">
        <f>AK75</f>
        <v>129212.57142857143</v>
      </c>
      <c r="AM75" s="20" t="s">
        <v>7</v>
      </c>
      <c r="AN75" s="19">
        <f>AD58</f>
        <v>131870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-102363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-1</v>
      </c>
      <c r="X76" s="211"/>
      <c r="Y76" s="606"/>
      <c r="Z76" s="606"/>
      <c r="AA76" s="606"/>
      <c r="AB76" s="606"/>
      <c r="AC76" s="606"/>
      <c r="AD76" s="606"/>
      <c r="AE76" s="606"/>
      <c r="AF76" s="606"/>
      <c r="AG76" s="149"/>
      <c r="AH76" s="606"/>
      <c r="AI76" s="606"/>
      <c r="AJ76" s="214" t="s">
        <v>6</v>
      </c>
      <c r="AK76" s="236">
        <f>((+AD79-AA79)/$AD$73)*24</f>
        <v>318253.71428571432</v>
      </c>
      <c r="AL76" s="236">
        <f>+AK76</f>
        <v>318253.71428571432</v>
      </c>
      <c r="AM76" s="464"/>
      <c r="AN76" s="19">
        <f>SUM(AN73:AN75)</f>
        <v>420604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-102363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-1</v>
      </c>
      <c r="X77" s="211"/>
      <c r="Y77" s="606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606"/>
      <c r="AI77" s="78"/>
      <c r="AJ77" s="214" t="s">
        <v>8</v>
      </c>
      <c r="AK77" s="236">
        <f>((+AD80-AA80)/$AD$73)*24</f>
        <v>7902.8571428571431</v>
      </c>
      <c r="AL77" s="236">
        <f>AK77</f>
        <v>7902.8571428571431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-102363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-1</v>
      </c>
      <c r="X78" s="211"/>
      <c r="Y78" s="214" t="s">
        <v>7</v>
      </c>
      <c r="Z78" s="224">
        <v>131428</v>
      </c>
      <c r="AA78" s="225">
        <v>94183</v>
      </c>
      <c r="AB78" s="226">
        <f t="shared" ref="AB78:AC80" si="22">+Z58</f>
        <v>38482</v>
      </c>
      <c r="AC78" s="226">
        <f t="shared" si="22"/>
        <v>78388</v>
      </c>
      <c r="AD78" s="226">
        <f>+AB78+AC78+AB58+AC58</f>
        <v>131870</v>
      </c>
      <c r="AE78" s="519">
        <f>+((AD58/24)*$AD$73)+AA78</f>
        <v>132645.08333333331</v>
      </c>
      <c r="AF78" s="227">
        <f>+AE78-AD78</f>
        <v>775.08333333331393</v>
      </c>
      <c r="AG78" s="212"/>
      <c r="AH78" s="214" t="s">
        <v>7</v>
      </c>
      <c r="AI78" s="446">
        <f>+AA78</f>
        <v>94183</v>
      </c>
      <c r="AK78" s="231">
        <f>+SUM(AK75:AK77)</f>
        <v>455369.1428571429</v>
      </c>
      <c r="AL78" s="231">
        <f>+SUM(AL75:AL77)</f>
        <v>455369.1428571429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-102363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-1</v>
      </c>
      <c r="X79" s="211"/>
      <c r="Y79" s="214" t="s">
        <v>6</v>
      </c>
      <c r="Z79" s="224">
        <v>288734</v>
      </c>
      <c r="AA79" s="225">
        <f>180568+14900</f>
        <v>195468</v>
      </c>
      <c r="AB79" s="226">
        <f t="shared" si="22"/>
        <v>118305</v>
      </c>
      <c r="AC79" s="226">
        <f t="shared" si="22"/>
        <v>124987</v>
      </c>
      <c r="AD79" s="226">
        <f>+AB79+AC79+AB59</f>
        <v>288292</v>
      </c>
      <c r="AE79" s="519">
        <f>+((AD59/24)*$AD$73)+AA79</f>
        <v>279553.16666666663</v>
      </c>
      <c r="AF79" s="227">
        <f>+AE79-AD79</f>
        <v>-8738.8333333333721</v>
      </c>
      <c r="AG79" s="212"/>
      <c r="AH79" s="214" t="s">
        <v>6</v>
      </c>
      <c r="AI79" s="446">
        <f>+AA79</f>
        <v>195468</v>
      </c>
      <c r="AJ79" s="53"/>
      <c r="AK79" s="481">
        <v>536741</v>
      </c>
      <c r="AL79" s="481">
        <f>AK79-AK78</f>
        <v>81371.857142857101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-102363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-1</v>
      </c>
      <c r="X80" s="211"/>
      <c r="Y80" s="214" t="s">
        <v>8</v>
      </c>
      <c r="Z80" s="224">
        <v>4458</v>
      </c>
      <c r="AA80" s="225">
        <v>2153</v>
      </c>
      <c r="AB80" s="226">
        <f t="shared" si="22"/>
        <v>0</v>
      </c>
      <c r="AC80" s="226">
        <f t="shared" si="22"/>
        <v>4458</v>
      </c>
      <c r="AD80" s="226">
        <f>+AB80+AC80</f>
        <v>4458</v>
      </c>
      <c r="AE80" s="519">
        <f>+((AD60/24)*$AD$73)+AA80</f>
        <v>3453.25</v>
      </c>
      <c r="AF80" s="227">
        <f>+AE80-AD80</f>
        <v>-1004.75</v>
      </c>
      <c r="AG80" s="149"/>
      <c r="AH80" s="214" t="s">
        <v>8</v>
      </c>
      <c r="AI80" s="447">
        <f>+AA80</f>
        <v>2153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-102363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-1</v>
      </c>
      <c r="X81" s="211"/>
      <c r="Y81" s="228" t="s">
        <v>130</v>
      </c>
      <c r="Z81" s="229">
        <f t="shared" ref="Z81:AE81" si="23">SUM(Z78:Z80)</f>
        <v>424620</v>
      </c>
      <c r="AA81" s="230">
        <f t="shared" si="23"/>
        <v>291804</v>
      </c>
      <c r="AB81" s="229">
        <f t="shared" si="23"/>
        <v>156787</v>
      </c>
      <c r="AC81" s="229">
        <f t="shared" si="23"/>
        <v>207833</v>
      </c>
      <c r="AD81" s="229">
        <f t="shared" si="23"/>
        <v>424620</v>
      </c>
      <c r="AE81" s="229">
        <f t="shared" si="23"/>
        <v>415651.49999999994</v>
      </c>
      <c r="AF81" s="227">
        <f>+SUM(AF78:AF80)</f>
        <v>-8968.5000000000582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-102363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-1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-102363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-1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-102363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-1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-102363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-1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-102363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-1</v>
      </c>
      <c r="Y86" s="14" t="s">
        <v>177</v>
      </c>
      <c r="Z86" s="336" t="s">
        <v>178</v>
      </c>
      <c r="AA86" s="337">
        <f>+AA81</f>
        <v>291804</v>
      </c>
      <c r="AB86" s="337">
        <f>AA87-AA86</f>
        <v>-19614.270833333314</v>
      </c>
      <c r="AC86" s="42">
        <f>AB86*24/5.5</f>
        <v>-85589.545454545369</v>
      </c>
      <c r="AD86" s="338">
        <f>AC86+353111</f>
        <v>267521.45454545465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-102363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-1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61307.000000000029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-102363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-1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-102363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-1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-102363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-1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-102363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-1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-102363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-1</v>
      </c>
      <c r="Y92" s="882" t="s">
        <v>158</v>
      </c>
      <c r="Z92" s="586" t="s">
        <v>283</v>
      </c>
      <c r="AA92" s="587">
        <f>SUMIF($D$2:$D$57,"domiciliario",$I$2:$I$103)</f>
        <v>29586</v>
      </c>
      <c r="AB92" s="587">
        <f>SUMIF($D$2:$D$57,"domiciliario",$T$2:$T$103)</f>
        <v>29586</v>
      </c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-102363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-1</v>
      </c>
      <c r="Y93" s="883"/>
      <c r="Z93" s="588" t="s">
        <v>284</v>
      </c>
      <c r="AA93" s="589">
        <f>SUMIF($D$2:$D$57,"industrial",$I$2:$I$103)</f>
        <v>0</v>
      </c>
      <c r="AB93" s="589">
        <f>SUMIF($D$2:$D$57,"industrial",$T$2:$T$103)</f>
        <v>0</v>
      </c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-102363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-1</v>
      </c>
      <c r="Y94" s="883"/>
      <c r="Z94" s="588" t="s">
        <v>80</v>
      </c>
      <c r="AA94" s="589">
        <f>SUMIF($D$2:$D$57,"gnv",$I$2:$I$103)</f>
        <v>312</v>
      </c>
      <c r="AB94" s="589">
        <f>SUMIF($D$2:$D$57,"gnv",$T$2:$T$103)</f>
        <v>312</v>
      </c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-102363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-1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34234</v>
      </c>
      <c r="AB95" s="589">
        <f>SUMIF($D$2:$D$57,"termico",$T$2:$T$103)+SUMIF($D$2:$D$57,"electrico",$T$2:$T$103)+SUMIF($D$2:$D$57,"térmico",$T$2:$T$103)</f>
        <v>8584</v>
      </c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-102363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-1</v>
      </c>
      <c r="Y96" s="884"/>
      <c r="Z96" s="590" t="s">
        <v>286</v>
      </c>
      <c r="AA96" s="591"/>
      <c r="AB96" s="591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-102363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-1</v>
      </c>
      <c r="Y97" s="825" t="s">
        <v>154</v>
      </c>
      <c r="Z97" s="489" t="s">
        <v>283</v>
      </c>
      <c r="AA97" s="490">
        <f>SUMIF($D$2:$D$57,"domiciliario",$H$2:$H$103)</f>
        <v>32814</v>
      </c>
      <c r="AB97" s="490">
        <f>SUMIF($D$2:$D$57,"domiciliario",$S$2:$S$103)</f>
        <v>32814</v>
      </c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-102363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-1</v>
      </c>
      <c r="Y98" s="826"/>
      <c r="Z98" s="492" t="s">
        <v>284</v>
      </c>
      <c r="AA98" s="493">
        <f>SUMIF($D$2:$D$57,"industrial",$H$2:$H$103)</f>
        <v>34000</v>
      </c>
      <c r="AB98" s="493">
        <f>SUMIF($D$2:$D$57,"industrial",$S$2:$S$103)</f>
        <v>28729</v>
      </c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-102363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-1</v>
      </c>
      <c r="Y99" s="826"/>
      <c r="Z99" s="492" t="s">
        <v>80</v>
      </c>
      <c r="AA99" s="493">
        <f>SUMIF($D$2:$D$57,"gnv",$H$2:$H$103)</f>
        <v>0</v>
      </c>
      <c r="AB99" s="493">
        <f>SUMIF($D$2:$D$57,"gnv",$S$2:$S$103)</f>
        <v>0</v>
      </c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-102363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-1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93803</v>
      </c>
      <c r="AB100" s="493">
        <f>SUMIF($D$2:$D$57,"termico",$S$2:$S$103)+SUMIF($D$2:$D$57,"electrico",$S$2:$S$103)+SUMIF($D$2:$D$57,"térmico",$S$2:$S$103)</f>
        <v>56762</v>
      </c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-102363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-1</v>
      </c>
      <c r="Y101" s="827"/>
      <c r="Z101" s="5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-102363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-1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-102363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-1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customHeight="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160617</v>
      </c>
      <c r="I105" s="252">
        <f>+SUM(I2:I103)</f>
        <v>64132</v>
      </c>
      <c r="J105" s="252">
        <f>+SUM(J2:J103)</f>
        <v>34400</v>
      </c>
      <c r="K105" s="252">
        <f>SUM(K2:K103)</f>
        <v>259149</v>
      </c>
      <c r="L105" s="253">
        <f>+L103</f>
        <v>-102363</v>
      </c>
      <c r="M105" s="252">
        <f>SUM(M2:M103)</f>
        <v>0</v>
      </c>
      <c r="N105" s="252">
        <f>SUM(N2:N103)</f>
        <v>259149</v>
      </c>
      <c r="O105" s="252"/>
      <c r="P105" s="252">
        <f>SUM(P2:P103)</f>
        <v>0</v>
      </c>
      <c r="Q105" s="252">
        <f>SUM(Q2:Q103)</f>
        <v>0</v>
      </c>
      <c r="R105" s="252">
        <f>SUM(R2:R103)</f>
        <v>-101013</v>
      </c>
      <c r="S105" s="252">
        <f>SUM(S2:S103)</f>
        <v>118305</v>
      </c>
      <c r="T105" s="252">
        <f>+SUM(T2:T103)</f>
        <v>38482</v>
      </c>
      <c r="U105" s="252">
        <f>SUM(U2:U103)</f>
        <v>0</v>
      </c>
      <c r="V105" s="252">
        <f>SUM(V2:V103)</f>
        <v>156787</v>
      </c>
      <c r="W105" s="254">
        <f>+W103</f>
        <v>-1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>
        <f>J93-8783</f>
        <v>-8783</v>
      </c>
      <c r="S106" s="119"/>
      <c r="W106" s="119"/>
      <c r="Y106" s="830"/>
      <c r="Z106" s="5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575"/>
      <c r="I107" s="575"/>
      <c r="J107" s="575"/>
      <c r="K107" s="576"/>
      <c r="L107" s="287"/>
      <c r="M107" s="259"/>
      <c r="N107" s="259"/>
      <c r="O107" s="259"/>
      <c r="P107" s="259"/>
      <c r="Q107" s="116"/>
      <c r="R107" s="116"/>
      <c r="S107" s="119"/>
      <c r="T107" s="119"/>
      <c r="U107" s="116"/>
      <c r="V107" s="119"/>
      <c r="W107" s="119"/>
      <c r="Y107" s="502" t="s">
        <v>289</v>
      </c>
      <c r="Z107" s="503" t="s">
        <v>289</v>
      </c>
      <c r="AA107" s="504">
        <f>SUMIF($D$2:$D$57,"EXPORTACION",$J$2:$J$103)</f>
        <v>34400</v>
      </c>
      <c r="AB107" s="505">
        <f>SUMIF($D$2:$D$57,"EXPORTACION",$U$2:$U$103)</f>
        <v>0</v>
      </c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 t="s">
        <v>193</v>
      </c>
      <c r="I108" s="257">
        <v>15000</v>
      </c>
      <c r="J108" s="574">
        <f>I108/$I$111</f>
        <v>0.88235294117647056</v>
      </c>
      <c r="K108" s="119">
        <f>$W$50*J108</f>
        <v>-0.88235294117647056</v>
      </c>
      <c r="L108" s="119">
        <f>I108-K108</f>
        <v>15000.882352941177</v>
      </c>
      <c r="M108" s="259"/>
      <c r="N108" s="259"/>
      <c r="O108" s="259"/>
      <c r="P108" s="259"/>
      <c r="Q108" s="116"/>
      <c r="R108" s="116"/>
      <c r="S108" s="119"/>
      <c r="T108" s="116"/>
      <c r="U108" s="116"/>
      <c r="V108" s="121"/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/>
      <c r="I109" s="257"/>
      <c r="J109" s="574"/>
      <c r="K109" s="119"/>
      <c r="L109" s="119"/>
      <c r="M109" s="259"/>
      <c r="N109" s="259"/>
      <c r="O109" s="259"/>
      <c r="P109" s="259"/>
      <c r="Q109" s="116"/>
      <c r="R109" s="116"/>
      <c r="S109" s="119"/>
      <c r="T109" s="119"/>
      <c r="U109" s="116"/>
      <c r="V109" s="119"/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 t="s">
        <v>305</v>
      </c>
      <c r="I110" s="260">
        <v>2000</v>
      </c>
      <c r="J110" s="574">
        <f>I110/$I$111</f>
        <v>0.11764705882352941</v>
      </c>
      <c r="K110" s="119">
        <f>$W$50*J110</f>
        <v>-0.11764705882352941</v>
      </c>
      <c r="L110" s="119">
        <f>I110-K110</f>
        <v>2000.1176470588234</v>
      </c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573" t="s">
        <v>9</v>
      </c>
      <c r="I111" s="572">
        <f>SUM(I108:I110)</f>
        <v>17000</v>
      </c>
      <c r="J111" s="574">
        <f>SUM(J108:J110)</f>
        <v>1</v>
      </c>
      <c r="K111" s="265">
        <f>SUM(K108:K110)</f>
        <v>-1</v>
      </c>
      <c r="L111" s="265">
        <f>SUM(L108:L110)</f>
        <v>17001</v>
      </c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customHeight="1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113549</v>
      </c>
      <c r="J115" s="274">
        <f>SUM(H2:H5)+H14+SUM(H30:H32)+H35+18820</f>
        <v>37869</v>
      </c>
      <c r="K115" s="845">
        <f t="shared" ref="K115:K123" si="28">I115-J115</f>
        <v>75680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2000</v>
      </c>
      <c r="J116" s="275">
        <f>I116+0</f>
        <v>2000</v>
      </c>
      <c r="K116" s="839">
        <f t="shared" si="28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116013</v>
      </c>
      <c r="J117" s="275">
        <f>I117</f>
        <v>116013</v>
      </c>
      <c r="K117" s="839">
        <f t="shared" si="28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28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28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84443</v>
      </c>
      <c r="J120" s="275">
        <f>I120</f>
        <v>84443</v>
      </c>
      <c r="K120" s="839">
        <f t="shared" si="28"/>
        <v>0</v>
      </c>
      <c r="L120" s="840"/>
      <c r="AJ120" s="109" t="s">
        <v>155</v>
      </c>
      <c r="AK120" s="236">
        <v>169523</v>
      </c>
    </row>
    <row r="121" spans="1:40" ht="12.75" customHeight="1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7109</v>
      </c>
      <c r="J121" s="275">
        <f>I121+0</f>
        <v>7109</v>
      </c>
      <c r="K121" s="839">
        <f t="shared" si="28"/>
        <v>0</v>
      </c>
      <c r="L121" s="840"/>
      <c r="AJ121" s="354" t="s">
        <v>135</v>
      </c>
      <c r="AK121" s="355">
        <v>173236</v>
      </c>
    </row>
    <row r="122" spans="1:40" ht="12.75" customHeight="1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15191</v>
      </c>
      <c r="J122" s="277">
        <f>SUM(I15:I24)+SUM(I38:I43)+4379</f>
        <v>15191</v>
      </c>
      <c r="K122" s="839">
        <f t="shared" si="28"/>
        <v>0</v>
      </c>
      <c r="L122" s="840"/>
      <c r="M122" s="50"/>
      <c r="N122" s="50"/>
      <c r="O122" s="50"/>
      <c r="P122" s="50"/>
      <c r="AJ122" s="109"/>
      <c r="AK122" s="236"/>
    </row>
    <row r="123" spans="1:40" ht="12.75" customHeight="1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28"/>
        <v>0</v>
      </c>
      <c r="L123" s="840"/>
      <c r="AJ123" s="354"/>
      <c r="AK123" s="355"/>
    </row>
    <row r="124" spans="1:40" ht="13.5" customHeight="1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customHeight="1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customHeight="1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customHeight="1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ht="12.75" customHeight="1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ht="12.75" customHeight="1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29">I129-J129</f>
        <v>0</v>
      </c>
      <c r="L129" s="854"/>
    </row>
    <row r="130" spans="1:26" ht="12.75" customHeight="1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29"/>
        <v>1728</v>
      </c>
      <c r="L130" s="854"/>
    </row>
    <row r="131" spans="1:26" ht="12.75" customHeight="1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29"/>
        <v>0</v>
      </c>
      <c r="L131" s="854"/>
    </row>
    <row r="132" spans="1:26" ht="12.75" customHeight="1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29"/>
        <v>6594</v>
      </c>
      <c r="L132" s="854"/>
    </row>
    <row r="133" spans="1:26" ht="12.75" customHeight="1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29"/>
        <v>0</v>
      </c>
      <c r="L133" s="854"/>
    </row>
    <row r="134" spans="1:26" ht="12.75" customHeight="1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29"/>
        <v>0</v>
      </c>
      <c r="L134" s="854"/>
    </row>
    <row r="135" spans="1:26" ht="12.75" customHeight="1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29"/>
        <v>0</v>
      </c>
      <c r="L135" s="854"/>
    </row>
    <row r="136" spans="1:26" ht="12.75" customHeight="1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29"/>
        <v>0</v>
      </c>
      <c r="L136" s="854"/>
    </row>
    <row r="137" spans="1:26" ht="13.5" customHeight="1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29"/>
        <v>262</v>
      </c>
      <c r="L137" s="854"/>
      <c r="X137" s="20"/>
      <c r="Z137" s="20"/>
    </row>
    <row r="138" spans="1:26" ht="15.75" customHeight="1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customHeight="1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customHeight="1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ht="12.75" customHeight="1" x14ac:dyDescent="0.2">
      <c r="G141" s="864" t="s">
        <v>154</v>
      </c>
      <c r="H141" s="295" t="s">
        <v>28</v>
      </c>
      <c r="I141" s="296">
        <f t="shared" ref="I141:K151" si="30">I115+I128</f>
        <v>113549</v>
      </c>
      <c r="J141" s="296">
        <f t="shared" si="30"/>
        <v>37869</v>
      </c>
      <c r="K141" s="867">
        <f t="shared" si="30"/>
        <v>75680</v>
      </c>
      <c r="L141" s="868"/>
      <c r="X141" s="20"/>
      <c r="Z141" s="20"/>
    </row>
    <row r="142" spans="1:26" ht="12.75" customHeight="1" x14ac:dyDescent="0.2">
      <c r="C142" s="20"/>
      <c r="F142" s="20"/>
      <c r="G142" s="865"/>
      <c r="H142" s="297" t="s">
        <v>80</v>
      </c>
      <c r="I142" s="298">
        <f t="shared" si="30"/>
        <v>2000</v>
      </c>
      <c r="J142" s="298">
        <f t="shared" si="30"/>
        <v>2000</v>
      </c>
      <c r="K142" s="869">
        <f t="shared" si="30"/>
        <v>0</v>
      </c>
      <c r="L142" s="870"/>
      <c r="X142" s="20"/>
      <c r="Z142" s="20"/>
    </row>
    <row r="143" spans="1:26" ht="12.75" customHeight="1" x14ac:dyDescent="0.2">
      <c r="G143" s="865"/>
      <c r="H143" s="297" t="s">
        <v>61</v>
      </c>
      <c r="I143" s="298">
        <f t="shared" si="30"/>
        <v>117741</v>
      </c>
      <c r="J143" s="298">
        <f t="shared" si="30"/>
        <v>116013</v>
      </c>
      <c r="K143" s="869">
        <f t="shared" si="30"/>
        <v>1728</v>
      </c>
      <c r="L143" s="870"/>
      <c r="X143" s="20"/>
      <c r="Z143" s="20"/>
    </row>
    <row r="144" spans="1:26" ht="12.75" customHeight="1" x14ac:dyDescent="0.2">
      <c r="G144" s="865"/>
      <c r="H144" s="297" t="s">
        <v>156</v>
      </c>
      <c r="I144" s="298">
        <f t="shared" si="30"/>
        <v>14000</v>
      </c>
      <c r="J144" s="298">
        <f t="shared" si="30"/>
        <v>14000</v>
      </c>
      <c r="K144" s="869">
        <f t="shared" si="30"/>
        <v>0</v>
      </c>
      <c r="L144" s="870"/>
      <c r="X144" s="20"/>
      <c r="Z144" s="20"/>
    </row>
    <row r="145" spans="3:26" ht="13.5" customHeight="1" thickBot="1" x14ac:dyDescent="0.25">
      <c r="G145" s="866"/>
      <c r="H145" s="299" t="s">
        <v>157</v>
      </c>
      <c r="I145" s="300">
        <f t="shared" si="30"/>
        <v>67705</v>
      </c>
      <c r="J145" s="300">
        <f t="shared" si="30"/>
        <v>61111</v>
      </c>
      <c r="K145" s="871">
        <f t="shared" si="30"/>
        <v>6594</v>
      </c>
      <c r="L145" s="872"/>
      <c r="X145" s="20"/>
      <c r="Z145" s="20"/>
    </row>
    <row r="146" spans="3:26" ht="12.75" customHeight="1" x14ac:dyDescent="0.2">
      <c r="G146" s="879" t="s">
        <v>158</v>
      </c>
      <c r="H146" s="295" t="s">
        <v>28</v>
      </c>
      <c r="I146" s="296">
        <f t="shared" si="30"/>
        <v>84458</v>
      </c>
      <c r="J146" s="296">
        <f t="shared" si="30"/>
        <v>84458</v>
      </c>
      <c r="K146" s="867">
        <f t="shared" si="30"/>
        <v>0</v>
      </c>
      <c r="L146" s="868"/>
      <c r="X146" s="20"/>
      <c r="Z146" s="20"/>
    </row>
    <row r="147" spans="3:26" ht="12.75" customHeight="1" x14ac:dyDescent="0.2">
      <c r="G147" s="880"/>
      <c r="H147" s="297" t="s">
        <v>80</v>
      </c>
      <c r="I147" s="301">
        <f t="shared" si="30"/>
        <v>7109</v>
      </c>
      <c r="J147" s="301">
        <f t="shared" si="30"/>
        <v>7109</v>
      </c>
      <c r="K147" s="869">
        <f t="shared" si="30"/>
        <v>0</v>
      </c>
      <c r="L147" s="870"/>
      <c r="X147" s="20"/>
      <c r="Z147" s="20"/>
    </row>
    <row r="148" spans="3:26" ht="12.75" customHeight="1" x14ac:dyDescent="0.2">
      <c r="G148" s="880"/>
      <c r="H148" s="297" t="s">
        <v>61</v>
      </c>
      <c r="I148" s="301">
        <f t="shared" si="30"/>
        <v>15191</v>
      </c>
      <c r="J148" s="301">
        <f t="shared" si="30"/>
        <v>15191</v>
      </c>
      <c r="K148" s="869">
        <f t="shared" si="30"/>
        <v>0</v>
      </c>
      <c r="L148" s="870"/>
      <c r="X148" s="20"/>
      <c r="Z148" s="20"/>
    </row>
    <row r="149" spans="3:26" ht="12.75" customHeight="1" x14ac:dyDescent="0.2">
      <c r="G149" s="880"/>
      <c r="H149" s="297" t="s">
        <v>156</v>
      </c>
      <c r="I149" s="301">
        <f t="shared" si="30"/>
        <v>38756</v>
      </c>
      <c r="J149" s="301">
        <f t="shared" si="30"/>
        <v>38756</v>
      </c>
      <c r="K149" s="869">
        <f t="shared" si="30"/>
        <v>0</v>
      </c>
      <c r="L149" s="870"/>
      <c r="X149" s="20"/>
      <c r="Z149" s="20"/>
    </row>
    <row r="150" spans="3:26" ht="13.5" customHeight="1" thickBot="1" x14ac:dyDescent="0.25">
      <c r="G150" s="881"/>
      <c r="H150" s="299" t="s">
        <v>157</v>
      </c>
      <c r="I150" s="302">
        <f t="shared" si="30"/>
        <v>1700</v>
      </c>
      <c r="J150" s="302">
        <f t="shared" si="30"/>
        <v>1438</v>
      </c>
      <c r="K150" s="871">
        <f t="shared" si="30"/>
        <v>262</v>
      </c>
      <c r="L150" s="872"/>
      <c r="X150" s="20"/>
      <c r="Z150" s="20"/>
    </row>
    <row r="151" spans="3:26" ht="15.75" customHeight="1" thickBot="1" x14ac:dyDescent="0.25">
      <c r="G151" s="847" t="s">
        <v>162</v>
      </c>
      <c r="H151" s="873"/>
      <c r="I151" s="303">
        <f t="shared" si="30"/>
        <v>300000</v>
      </c>
      <c r="J151" s="303">
        <f t="shared" si="30"/>
        <v>108136</v>
      </c>
      <c r="K151" s="874">
        <f>I151-J151</f>
        <v>191864</v>
      </c>
      <c r="L151" s="873"/>
      <c r="X151" s="20"/>
      <c r="Z151" s="20"/>
    </row>
    <row r="152" spans="3:26" ht="15.75" customHeight="1" thickBot="1" x14ac:dyDescent="0.3">
      <c r="G152" s="875" t="s">
        <v>163</v>
      </c>
      <c r="H152" s="876"/>
      <c r="I152" s="304">
        <f>SUM(I141:I150)</f>
        <v>462209</v>
      </c>
      <c r="J152" s="304">
        <f>SUM(J141:J150)</f>
        <v>377945</v>
      </c>
      <c r="K152" s="877">
        <f>SUM(K141:L150)</f>
        <v>84264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J158" s="18"/>
      <c r="L158" s="80"/>
      <c r="R158" s="18"/>
      <c r="S158" s="18"/>
      <c r="T158" s="80"/>
      <c r="X158" s="20"/>
      <c r="Z158" s="20"/>
    </row>
    <row r="159" spans="3:26" x14ac:dyDescent="0.2">
      <c r="C159" s="20"/>
      <c r="F159" s="20"/>
      <c r="J159" s="18"/>
      <c r="L159" s="80"/>
      <c r="R159" s="19">
        <v>0</v>
      </c>
      <c r="S159" s="19">
        <v>2413</v>
      </c>
      <c r="T159" s="80"/>
      <c r="X159" s="20"/>
      <c r="Z159" s="20"/>
    </row>
    <row r="160" spans="3:26" x14ac:dyDescent="0.2">
      <c r="C160" s="20"/>
      <c r="F160" s="20"/>
      <c r="J160" s="18"/>
      <c r="L160" s="80"/>
      <c r="R160" s="19">
        <v>0</v>
      </c>
      <c r="S160" s="19">
        <v>0</v>
      </c>
      <c r="T160" s="80"/>
      <c r="X160" s="20"/>
      <c r="Z160" s="20"/>
    </row>
    <row r="161" spans="3:26" x14ac:dyDescent="0.2">
      <c r="C161" s="20"/>
      <c r="F161" s="20"/>
      <c r="H161" s="20"/>
      <c r="I161" s="20"/>
      <c r="J161" s="20"/>
      <c r="R161" s="19">
        <v>-153</v>
      </c>
      <c r="S161" s="19">
        <v>1347</v>
      </c>
      <c r="X161" s="20"/>
      <c r="Z161" s="20"/>
    </row>
    <row r="162" spans="3:26" x14ac:dyDescent="0.2">
      <c r="C162" s="20"/>
      <c r="F162" s="20"/>
      <c r="H162" s="20"/>
      <c r="I162" s="20"/>
      <c r="J162" s="20"/>
      <c r="L162" s="20">
        <v>4339</v>
      </c>
      <c r="R162" s="19">
        <v>-767</v>
      </c>
      <c r="S162" s="19">
        <v>0</v>
      </c>
      <c r="X162" s="20"/>
      <c r="Z162" s="20"/>
    </row>
    <row r="163" spans="3:26" x14ac:dyDescent="0.2">
      <c r="C163" s="20"/>
      <c r="F163" s="20"/>
      <c r="H163" s="20"/>
      <c r="I163" s="20"/>
      <c r="J163" s="20"/>
      <c r="R163" s="19"/>
      <c r="S163" s="19"/>
      <c r="X163" s="20"/>
      <c r="Z163" s="20"/>
    </row>
    <row r="164" spans="3:26" x14ac:dyDescent="0.2">
      <c r="C164" s="20"/>
      <c r="F164" s="20"/>
      <c r="H164" s="20"/>
      <c r="I164" s="20"/>
      <c r="J164" s="20"/>
      <c r="R164" s="19"/>
      <c r="S164" s="19"/>
      <c r="X164" s="20"/>
      <c r="Z164" s="20"/>
    </row>
    <row r="165" spans="3:26" x14ac:dyDescent="0.2">
      <c r="C165" s="20"/>
      <c r="F165" s="20"/>
      <c r="H165" s="20"/>
      <c r="I165" s="20"/>
      <c r="J165" s="20"/>
      <c r="X165" s="20"/>
      <c r="Z165" s="20"/>
    </row>
    <row r="166" spans="3:26" x14ac:dyDescent="0.2">
      <c r="C166" s="20"/>
      <c r="F166" s="20"/>
      <c r="H166" s="20"/>
      <c r="I166" s="20"/>
      <c r="J166" s="20"/>
      <c r="X166" s="20"/>
      <c r="Z166" s="20"/>
    </row>
    <row r="167" spans="3:26" x14ac:dyDescent="0.2">
      <c r="C167" s="20"/>
      <c r="F167" s="20"/>
      <c r="H167" s="20"/>
      <c r="I167" s="20"/>
      <c r="J167" s="20"/>
      <c r="Q167" s="461"/>
      <c r="R167" s="80"/>
      <c r="X167" s="20"/>
      <c r="Z167" s="20"/>
    </row>
    <row r="168" spans="3:26" x14ac:dyDescent="0.2">
      <c r="C168" s="20"/>
      <c r="F168" s="20"/>
      <c r="H168" s="20"/>
      <c r="I168" s="20"/>
      <c r="J168" s="20"/>
      <c r="Q168" s="461"/>
      <c r="R168" s="80"/>
      <c r="X168" s="20"/>
      <c r="Z168" s="20"/>
    </row>
    <row r="169" spans="3:26" x14ac:dyDescent="0.2">
      <c r="C169" s="20"/>
      <c r="F169" s="20"/>
      <c r="H169" s="20"/>
      <c r="I169" s="20"/>
      <c r="J169" s="20"/>
      <c r="Q169" s="461"/>
      <c r="R169" s="80"/>
      <c r="X169" s="20"/>
      <c r="Z169" s="20"/>
    </row>
    <row r="170" spans="3:26" x14ac:dyDescent="0.2">
      <c r="C170" s="20"/>
      <c r="F170" s="20"/>
      <c r="H170" s="20"/>
      <c r="I170" s="20"/>
      <c r="J170" s="20"/>
      <c r="X170" s="20"/>
      <c r="Z170" s="20"/>
    </row>
    <row r="171" spans="3:26" x14ac:dyDescent="0.2">
      <c r="C171" s="20"/>
      <c r="F171" s="20"/>
      <c r="H171" s="20"/>
      <c r="I171" s="20"/>
      <c r="J171" s="20"/>
      <c r="X171" s="20"/>
      <c r="Z171" s="20"/>
    </row>
    <row r="172" spans="3:26" x14ac:dyDescent="0.2">
      <c r="C172" s="20"/>
      <c r="F172" s="20"/>
      <c r="H172" s="20"/>
      <c r="I172" s="20"/>
      <c r="J172" s="20"/>
      <c r="X172" s="20"/>
      <c r="Z172" s="20"/>
    </row>
    <row r="173" spans="3:26" x14ac:dyDescent="0.2">
      <c r="C173" s="20"/>
      <c r="F173" s="20"/>
      <c r="H173" s="20"/>
      <c r="I173" s="20"/>
      <c r="J173" s="20"/>
      <c r="X173" s="20"/>
      <c r="Z173" s="20"/>
    </row>
    <row r="174" spans="3:26" x14ac:dyDescent="0.2">
      <c r="H174" s="20"/>
      <c r="I174" s="20"/>
      <c r="J174" s="20"/>
    </row>
    <row r="175" spans="3:26" x14ac:dyDescent="0.2">
      <c r="H175" s="20"/>
      <c r="I175" s="20"/>
      <c r="J175" s="20"/>
    </row>
    <row r="176" spans="3:26" x14ac:dyDescent="0.2">
      <c r="H176" s="20"/>
      <c r="I176" s="20"/>
      <c r="J176" s="20"/>
    </row>
    <row r="177" spans="8:10" x14ac:dyDescent="0.2">
      <c r="H177" s="20"/>
      <c r="I177" s="20"/>
      <c r="J177" s="20"/>
    </row>
  </sheetData>
  <autoFilter ref="A1:AN152">
    <filterColumn colId="27" showButton="0"/>
    <filterColumn colId="28" showButton="0"/>
    <filterColumn colId="29" showButton="0"/>
  </autoFilter>
  <mergeCells count="87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A113:A114"/>
    <mergeCell ref="B113:B114"/>
    <mergeCell ref="G113:H113"/>
    <mergeCell ref="I113:L113"/>
    <mergeCell ref="K114:L114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G125:H125"/>
    <mergeCell ref="K125:L125"/>
    <mergeCell ref="G126:H126"/>
    <mergeCell ref="I126:L126"/>
    <mergeCell ref="K127:L127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</mergeCells>
  <conditionalFormatting sqref="AA78">
    <cfRule type="cellIs" dxfId="154" priority="3" operator="lessThan">
      <formula>$AA$78</formula>
    </cfRule>
    <cfRule type="cellIs" dxfId="153" priority="5" operator="greaterThan">
      <formula>$AE$78</formula>
    </cfRule>
  </conditionalFormatting>
  <conditionalFormatting sqref="AA79">
    <cfRule type="cellIs" dxfId="152" priority="4" operator="greaterThan">
      <formula>$AE$79</formula>
    </cfRule>
  </conditionalFormatting>
  <conditionalFormatting sqref="AA80">
    <cfRule type="cellIs" dxfId="151" priority="2" operator="greaterThan">
      <formula>$AE$79</formula>
    </cfRule>
  </conditionalFormatting>
  <conditionalFormatting sqref="AU4:AU23">
    <cfRule type="cellIs" dxfId="150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rgb="FF002060"/>
  </sheetPr>
  <dimension ref="A1:AU173"/>
  <sheetViews>
    <sheetView topLeftCell="T1" zoomScale="90" zoomScaleNormal="90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201566</v>
      </c>
      <c r="M2" s="29"/>
      <c r="N2" s="798">
        <f>SUM(K2:K26)</f>
        <v>219811</v>
      </c>
      <c r="O2" s="30">
        <f>+K2/$N$2</f>
        <v>1.3648088585193644E-2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201566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602" t="s">
        <v>31</v>
      </c>
      <c r="AE2" s="602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200466</v>
      </c>
      <c r="M3" s="29"/>
      <c r="N3" s="799"/>
      <c r="O3" s="30">
        <f t="shared" ref="O3:O29" si="2">+K3/$N$2</f>
        <v>5.0042991479043357E-3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596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200466</v>
      </c>
      <c r="X3" s="32">
        <f t="shared" ref="X3:X56" si="9">W3-L3</f>
        <v>0</v>
      </c>
      <c r="Y3" s="37" t="s">
        <v>34</v>
      </c>
      <c r="Z3" s="38">
        <f>ROUND((Z13*57%),0)</f>
        <v>271923</v>
      </c>
      <c r="AA3" s="39">
        <f>ROUND((+Z14*0.57),0)</f>
        <v>271169</v>
      </c>
      <c r="AB3" s="454">
        <v>75231</v>
      </c>
      <c r="AC3" s="455">
        <v>155902</v>
      </c>
      <c r="AD3" s="40">
        <v>39992</v>
      </c>
      <c r="AE3" s="41">
        <f>SUM(AB3:AD3)</f>
        <v>271125</v>
      </c>
      <c r="AF3" s="41">
        <f>AA3-AE3</f>
        <v>44</v>
      </c>
      <c r="AG3" s="42">
        <f>AA3-AB3-AC3-AD3</f>
        <v>44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178066</v>
      </c>
      <c r="M4" s="29"/>
      <c r="N4" s="799"/>
      <c r="O4" s="30">
        <f t="shared" si="2"/>
        <v>0.1019057281027792</v>
      </c>
      <c r="P4" s="802"/>
      <c r="Q4" s="31">
        <f t="shared" si="3"/>
        <v>0</v>
      </c>
      <c r="R4" s="31"/>
      <c r="S4" s="28">
        <f t="shared" si="4"/>
        <v>0</v>
      </c>
      <c r="T4" s="596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178066</v>
      </c>
      <c r="X4" s="32">
        <f t="shared" si="9"/>
        <v>0</v>
      </c>
      <c r="Y4" s="37" t="s">
        <v>38</v>
      </c>
      <c r="Z4" s="38">
        <f>ROUND((Z13*43%),0)</f>
        <v>205135</v>
      </c>
      <c r="AA4" s="39">
        <f>ROUND((+Z14*0.43),0)</f>
        <v>204566</v>
      </c>
      <c r="AB4" s="43">
        <f>T105</f>
        <v>47309</v>
      </c>
      <c r="AC4" s="43">
        <f>S105</f>
        <v>157102</v>
      </c>
      <c r="AD4" s="40">
        <f>U105</f>
        <v>155</v>
      </c>
      <c r="AE4" s="41">
        <f>SUM(AB4:AD4)</f>
        <v>204566</v>
      </c>
      <c r="AF4" s="41">
        <f>AA4-AE4</f>
        <v>0</v>
      </c>
      <c r="AG4" s="42">
        <f>AA4-AB4-AC4-AD4</f>
        <v>0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176866</v>
      </c>
      <c r="M5" s="29"/>
      <c r="N5" s="799"/>
      <c r="O5" s="30">
        <f t="shared" si="2"/>
        <v>5.4592354340774578E-3</v>
      </c>
      <c r="P5" s="802"/>
      <c r="Q5" s="31">
        <f t="shared" si="3"/>
        <v>0</v>
      </c>
      <c r="R5" s="31"/>
      <c r="S5" s="28">
        <f t="shared" si="4"/>
        <v>0</v>
      </c>
      <c r="T5" s="596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176866</v>
      </c>
      <c r="X5" s="32">
        <f t="shared" si="9"/>
        <v>0</v>
      </c>
      <c r="Y5" s="44" t="s">
        <v>41</v>
      </c>
      <c r="Z5" s="38">
        <f>SUM(Z3:Z4)</f>
        <v>477058</v>
      </c>
      <c r="AA5" s="45">
        <f>SUM(AA3:AA4)</f>
        <v>475735</v>
      </c>
      <c r="AB5" s="46">
        <f>SUM(AB3:AB4)</f>
        <v>122540</v>
      </c>
      <c r="AC5" s="41">
        <f>SUM(AC3:AC4)</f>
        <v>313004</v>
      </c>
      <c r="AD5" s="40">
        <f>SUM(AD3:AD4)</f>
        <v>40147</v>
      </c>
      <c r="AE5" s="41">
        <f>SUM(AB5:AD5)</f>
        <v>475691</v>
      </c>
      <c r="AF5" s="47">
        <f>SUM(AF3:AF4)</f>
        <v>44</v>
      </c>
      <c r="AG5" s="47">
        <f>SUM(AG3:AG4)</f>
        <v>44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164866</v>
      </c>
      <c r="M6" s="29"/>
      <c r="N6" s="799"/>
      <c r="O6" s="30">
        <f t="shared" si="2"/>
        <v>5.4592354340774578E-2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164866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v>130500</v>
      </c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1796+12370</f>
        <v>14166</v>
      </c>
      <c r="I7" s="518">
        <f>604+800+2430</f>
        <v>3834</v>
      </c>
      <c r="J7" s="26"/>
      <c r="K7" s="27">
        <f t="shared" si="0"/>
        <v>18000</v>
      </c>
      <c r="L7" s="28">
        <f t="shared" si="1"/>
        <v>146866</v>
      </c>
      <c r="M7" s="29"/>
      <c r="N7" s="799"/>
      <c r="O7" s="30">
        <f t="shared" si="2"/>
        <v>8.1888531511161863E-2</v>
      </c>
      <c r="P7" s="802"/>
      <c r="Q7" s="31">
        <f t="shared" si="3"/>
        <v>0</v>
      </c>
      <c r="R7" s="31"/>
      <c r="S7" s="28">
        <f t="shared" si="4"/>
        <v>14166</v>
      </c>
      <c r="T7" s="596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146866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144366</v>
      </c>
      <c r="M8" s="29"/>
      <c r="N8" s="799"/>
      <c r="O8" s="30">
        <f t="shared" si="2"/>
        <v>1.1373407154328037E-2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144366</v>
      </c>
      <c r="X8" s="32">
        <f t="shared" si="9"/>
        <v>0</v>
      </c>
      <c r="Y8" s="14" t="s">
        <v>47</v>
      </c>
      <c r="Z8" s="54">
        <v>41920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1337</v>
      </c>
      <c r="I9" s="518">
        <v>863</v>
      </c>
      <c r="J9" s="26"/>
      <c r="K9" s="27">
        <f t="shared" si="0"/>
        <v>2200</v>
      </c>
      <c r="L9" s="28">
        <f t="shared" si="1"/>
        <v>142166</v>
      </c>
      <c r="M9" s="29"/>
      <c r="N9" s="799"/>
      <c r="O9" s="30">
        <f t="shared" si="2"/>
        <v>1.0008598295808671E-2</v>
      </c>
      <c r="P9" s="802"/>
      <c r="Q9" s="31">
        <f t="shared" si="3"/>
        <v>0</v>
      </c>
      <c r="R9" s="31"/>
      <c r="S9" s="28">
        <f t="shared" si="4"/>
        <v>1337</v>
      </c>
      <c r="T9" s="596">
        <f t="shared" si="5"/>
        <v>863</v>
      </c>
      <c r="U9" s="28">
        <f t="shared" si="6"/>
        <v>0</v>
      </c>
      <c r="V9" s="28">
        <f t="shared" si="7"/>
        <v>2200</v>
      </c>
      <c r="W9" s="31">
        <f t="shared" si="8"/>
        <v>142166</v>
      </c>
      <c r="X9" s="32">
        <f t="shared" si="9"/>
        <v>0</v>
      </c>
      <c r="Y9" s="14" t="s">
        <v>189</v>
      </c>
      <c r="Z9" s="58">
        <f>492100-AB9</f>
        <v>492100</v>
      </c>
      <c r="AA9" s="59">
        <f>Z9*14.65/14.73</f>
        <v>489427.35913102509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-129852.99999999999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1"/>
        <v>122166</v>
      </c>
      <c r="M10" s="29"/>
      <c r="N10" s="799"/>
      <c r="O10" s="30">
        <f t="shared" si="2"/>
        <v>9.0987257234624294E-2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596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122166</v>
      </c>
      <c r="X10" s="32">
        <f t="shared" si="9"/>
        <v>0</v>
      </c>
      <c r="Y10" s="14" t="s">
        <v>191</v>
      </c>
      <c r="Z10" s="58">
        <f>ROUND((Z9*Z30),0)</f>
        <v>490735</v>
      </c>
      <c r="AA10" s="59">
        <f>Z10*14.65/14.73</f>
        <v>488069.77257298032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-72945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104166</v>
      </c>
      <c r="M11" s="29"/>
      <c r="N11" s="799"/>
      <c r="O11" s="30">
        <f t="shared" si="2"/>
        <v>8.1888531511161863E-2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104166</v>
      </c>
      <c r="X11" s="32">
        <f t="shared" si="9"/>
        <v>0</v>
      </c>
      <c r="Y11" s="14" t="s">
        <v>59</v>
      </c>
      <c r="Z11" s="58">
        <v>10000</v>
      </c>
      <c r="AA11" s="59">
        <f>ROUND(Z11/Z27,0)*14.65/14.73</f>
        <v>9973.5369993211134</v>
      </c>
      <c r="AB11" s="35"/>
      <c r="AC11" s="65"/>
      <c r="AD11" s="64"/>
      <c r="AE11" s="60">
        <f>AE9*57%</f>
        <v>96899.999999999985</v>
      </c>
      <c r="AF11" s="60">
        <f>AD3-AE11</f>
        <v>-56907.999999999985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/>
      <c r="I12" s="518">
        <v>3600</v>
      </c>
      <c r="J12" s="26"/>
      <c r="K12" s="27">
        <f t="shared" si="0"/>
        <v>3600</v>
      </c>
      <c r="L12" s="28">
        <f t="shared" si="1"/>
        <v>100566</v>
      </c>
      <c r="M12" s="29"/>
      <c r="N12" s="799"/>
      <c r="O12" s="30">
        <f t="shared" si="2"/>
        <v>1.6377706302232373E-2</v>
      </c>
      <c r="P12" s="802"/>
      <c r="Q12" s="31">
        <f t="shared" si="3"/>
        <v>0</v>
      </c>
      <c r="R12" s="31">
        <v>0</v>
      </c>
      <c r="S12" s="28">
        <f t="shared" si="4"/>
        <v>0</v>
      </c>
      <c r="T12" s="596">
        <f t="shared" si="5"/>
        <v>3600</v>
      </c>
      <c r="U12" s="28">
        <f t="shared" si="6"/>
        <v>0</v>
      </c>
      <c r="V12" s="28">
        <f t="shared" si="7"/>
        <v>3600</v>
      </c>
      <c r="W12" s="31">
        <f t="shared" si="8"/>
        <v>100566</v>
      </c>
      <c r="X12" s="32">
        <f t="shared" si="9"/>
        <v>0</v>
      </c>
      <c r="Y12" s="14" t="s">
        <v>64</v>
      </c>
      <c r="Z12" s="58">
        <v>5000</v>
      </c>
      <c r="AA12" s="59">
        <f>ROUND(Z12/Z28,0)*14.65/14.73</f>
        <v>4985.7739307535639</v>
      </c>
      <c r="AB12" s="57">
        <f>Z12*57%</f>
        <v>2849.9999999999995</v>
      </c>
      <c r="AC12" s="65">
        <f>Z12*43%</f>
        <v>2150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2312</v>
      </c>
      <c r="AU12" s="434">
        <f t="shared" si="10"/>
        <v>-3688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4000</v>
      </c>
      <c r="I13" s="518">
        <v>2000</v>
      </c>
      <c r="J13" s="26"/>
      <c r="K13" s="27">
        <f t="shared" si="0"/>
        <v>6000</v>
      </c>
      <c r="L13" s="28">
        <f t="shared" si="1"/>
        <v>94566</v>
      </c>
      <c r="M13" s="29"/>
      <c r="N13" s="799"/>
      <c r="O13" s="30">
        <f t="shared" si="2"/>
        <v>2.7296177170387289E-2</v>
      </c>
      <c r="P13" s="802"/>
      <c r="Q13" s="31">
        <f t="shared" si="3"/>
        <v>0</v>
      </c>
      <c r="R13" s="31">
        <v>0</v>
      </c>
      <c r="S13" s="28">
        <f t="shared" si="4"/>
        <v>4000</v>
      </c>
      <c r="T13" s="596">
        <f t="shared" si="5"/>
        <v>2000</v>
      </c>
      <c r="U13" s="28">
        <f t="shared" si="6"/>
        <v>0</v>
      </c>
      <c r="V13" s="28">
        <f t="shared" si="7"/>
        <v>6000</v>
      </c>
      <c r="W13" s="31">
        <f t="shared" si="8"/>
        <v>94566</v>
      </c>
      <c r="X13" s="32">
        <f t="shared" si="9"/>
        <v>0</v>
      </c>
      <c r="Y13" s="14" t="s">
        <v>67</v>
      </c>
      <c r="Z13" s="67">
        <f>Z14/Z30</f>
        <v>477058.31879079348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3688</v>
      </c>
      <c r="AU13" s="434">
        <f t="shared" si="10"/>
        <v>2188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10711</v>
      </c>
      <c r="I14" s="26">
        <v>0</v>
      </c>
      <c r="J14" s="26"/>
      <c r="K14" s="27">
        <f t="shared" si="0"/>
        <v>10711</v>
      </c>
      <c r="L14" s="28">
        <f t="shared" si="1"/>
        <v>83855</v>
      </c>
      <c r="M14" s="29"/>
      <c r="N14" s="799"/>
      <c r="O14" s="30">
        <f t="shared" si="2"/>
        <v>4.8728225612003039E-2</v>
      </c>
      <c r="P14" s="802"/>
      <c r="Q14" s="31">
        <f t="shared" si="3"/>
        <v>0</v>
      </c>
      <c r="R14" s="31">
        <v>0</v>
      </c>
      <c r="S14" s="28">
        <f t="shared" si="4"/>
        <v>10711</v>
      </c>
      <c r="T14" s="28">
        <f t="shared" si="5"/>
        <v>0</v>
      </c>
      <c r="U14" s="28">
        <f t="shared" si="6"/>
        <v>0</v>
      </c>
      <c r="V14" s="28">
        <f t="shared" si="7"/>
        <v>10711</v>
      </c>
      <c r="W14" s="31">
        <f t="shared" si="8"/>
        <v>83855</v>
      </c>
      <c r="X14" s="32">
        <f t="shared" si="9"/>
        <v>0</v>
      </c>
      <c r="Y14" s="14" t="s">
        <v>70</v>
      </c>
      <c r="Z14" s="67">
        <f>+Z10-(Z11+Z12)</f>
        <v>475735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66655</v>
      </c>
      <c r="M15" s="29"/>
      <c r="N15" s="799"/>
      <c r="O15" s="30">
        <f t="shared" si="2"/>
        <v>7.8249041221776894E-2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66655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46155</v>
      </c>
      <c r="M16" s="29"/>
      <c r="N16" s="799"/>
      <c r="O16" s="30">
        <f t="shared" si="2"/>
        <v>9.3261938665489902E-2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46155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2000</v>
      </c>
      <c r="I17" s="26"/>
      <c r="J17" s="26"/>
      <c r="K17" s="27">
        <f t="shared" si="0"/>
        <v>2000</v>
      </c>
      <c r="L17" s="28">
        <f t="shared" si="1"/>
        <v>44155</v>
      </c>
      <c r="M17" s="29"/>
      <c r="N17" s="799"/>
      <c r="O17" s="30">
        <f t="shared" si="2"/>
        <v>9.0987257234624291E-3</v>
      </c>
      <c r="P17" s="802"/>
      <c r="Q17" s="31">
        <f t="shared" si="3"/>
        <v>0</v>
      </c>
      <c r="R17" s="31">
        <v>0</v>
      </c>
      <c r="S17" s="28">
        <f t="shared" si="4"/>
        <v>2000</v>
      </c>
      <c r="T17" s="28">
        <f t="shared" si="5"/>
        <v>0</v>
      </c>
      <c r="U17" s="28">
        <f t="shared" si="6"/>
        <v>0</v>
      </c>
      <c r="V17" s="28">
        <f t="shared" si="7"/>
        <v>2000</v>
      </c>
      <c r="W17" s="31">
        <f t="shared" si="8"/>
        <v>44155</v>
      </c>
      <c r="X17" s="32">
        <f t="shared" si="9"/>
        <v>0</v>
      </c>
      <c r="AA17" s="35"/>
      <c r="AB17" s="790">
        <f>+Z61-Z24-((Z12+Z11)*0.43)</f>
        <v>-6450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312</v>
      </c>
      <c r="J18" s="26"/>
      <c r="K18" s="27">
        <f t="shared" si="0"/>
        <v>312</v>
      </c>
      <c r="L18" s="28">
        <f t="shared" si="1"/>
        <v>43843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596">
        <f t="shared" si="5"/>
        <v>312</v>
      </c>
      <c r="U18" s="28">
        <f t="shared" si="6"/>
        <v>0</v>
      </c>
      <c r="V18" s="28">
        <f t="shared" si="7"/>
        <v>312</v>
      </c>
      <c r="W18" s="31">
        <f t="shared" si="8"/>
        <v>43843</v>
      </c>
      <c r="X18" s="32"/>
      <c r="Y18" s="14" t="s">
        <v>77</v>
      </c>
      <c r="Z18" s="71">
        <f>ROUND(Z14*0.43,0)</f>
        <v>204566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3688</v>
      </c>
      <c r="I19" s="26"/>
      <c r="J19" s="26"/>
      <c r="K19" s="27">
        <f t="shared" si="0"/>
        <v>3688</v>
      </c>
      <c r="L19" s="28">
        <f t="shared" si="1"/>
        <v>40155</v>
      </c>
      <c r="M19" s="29"/>
      <c r="N19" s="799"/>
      <c r="O19" s="30">
        <f t="shared" si="2"/>
        <v>1.6778050234064718E-2</v>
      </c>
      <c r="P19" s="802"/>
      <c r="Q19" s="31">
        <f t="shared" si="3"/>
        <v>0</v>
      </c>
      <c r="R19" s="31">
        <v>0</v>
      </c>
      <c r="S19" s="28">
        <f t="shared" si="4"/>
        <v>3688</v>
      </c>
      <c r="T19" s="28">
        <f t="shared" si="5"/>
        <v>0</v>
      </c>
      <c r="U19" s="28">
        <f t="shared" si="6"/>
        <v>0</v>
      </c>
      <c r="V19" s="28">
        <f t="shared" si="7"/>
        <v>3688</v>
      </c>
      <c r="W19" s="31">
        <f t="shared" si="8"/>
        <v>40155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38655</v>
      </c>
      <c r="M20" s="29"/>
      <c r="N20" s="799"/>
      <c r="O20" s="30">
        <f t="shared" si="2"/>
        <v>6.8240442925968222E-3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38655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38655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38655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31155</v>
      </c>
      <c r="M22" s="29"/>
      <c r="N22" s="799"/>
      <c r="O22" s="30">
        <f t="shared" si="2"/>
        <v>3.4120221462984109E-2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31155</v>
      </c>
      <c r="X22" s="32">
        <f t="shared" si="9"/>
        <v>0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31155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31155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31155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31155</v>
      </c>
      <c r="X24" s="32">
        <f t="shared" si="9"/>
        <v>0</v>
      </c>
      <c r="Y24" s="74" t="s">
        <v>169</v>
      </c>
      <c r="Z24" s="75">
        <f>+Z18+Z19</f>
        <v>204566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19155</v>
      </c>
      <c r="M25" s="29"/>
      <c r="N25" s="799"/>
      <c r="O25" s="30">
        <f t="shared" si="2"/>
        <v>5.4592354340774578E-2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88" si="11">+W24-V25</f>
        <v>19155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-15245</v>
      </c>
      <c r="M26" s="86"/>
      <c r="N26" s="800"/>
      <c r="O26" s="87">
        <f t="shared" si="2"/>
        <v>0.15649808244355379</v>
      </c>
      <c r="P26" s="803"/>
      <c r="Q26" s="144">
        <f t="shared" si="3"/>
        <v>0</v>
      </c>
      <c r="R26" s="144">
        <v>-34245</v>
      </c>
      <c r="S26" s="423">
        <f t="shared" si="4"/>
        <v>0</v>
      </c>
      <c r="T26" s="423">
        <f t="shared" si="5"/>
        <v>0</v>
      </c>
      <c r="U26" s="423">
        <f t="shared" si="6"/>
        <v>155</v>
      </c>
      <c r="V26" s="423">
        <f t="shared" si="7"/>
        <v>155</v>
      </c>
      <c r="W26" s="31">
        <f t="shared" si="11"/>
        <v>19000</v>
      </c>
      <c r="X26" s="32">
        <f t="shared" si="9"/>
        <v>34245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-15245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1"/>
        <v>19000</v>
      </c>
      <c r="X27" s="32">
        <f t="shared" si="9"/>
        <v>34245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-15245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19000</v>
      </c>
      <c r="X28" s="32">
        <f t="shared" si="9"/>
        <v>34245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60045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-15245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19000</v>
      </c>
      <c r="X29" s="32">
        <f t="shared" si="9"/>
        <v>34245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-15245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19000</v>
      </c>
      <c r="X30" s="32">
        <f t="shared" si="9"/>
        <v>34245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-15245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19000</v>
      </c>
      <c r="X31" s="32">
        <f t="shared" si="9"/>
        <v>34245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-15245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19000</v>
      </c>
      <c r="X32" s="32">
        <f t="shared" si="9"/>
        <v>34245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-15245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19000</v>
      </c>
      <c r="X33" s="32">
        <f t="shared" si="9"/>
        <v>34245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-15245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19000</v>
      </c>
      <c r="X34" s="32">
        <f t="shared" si="9"/>
        <v>34245</v>
      </c>
      <c r="Y34" s="806"/>
      <c r="Z34" s="112">
        <v>100000</v>
      </c>
      <c r="AA34" s="113">
        <f>AD5-Z34</f>
        <v>-59853</v>
      </c>
      <c r="AB34" s="113">
        <f>Z34+AA34</f>
        <v>40147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-15245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19000</v>
      </c>
      <c r="X35" s="32">
        <f>W35-L35</f>
        <v>34245</v>
      </c>
      <c r="Y35" s="117" t="s">
        <v>56</v>
      </c>
      <c r="Z35" s="113">
        <f>Z34*43%</f>
        <v>43000</v>
      </c>
      <c r="AA35" s="113">
        <f>AD4-Z35</f>
        <v>-42845</v>
      </c>
      <c r="AB35" s="113">
        <f>Z35+AA35</f>
        <v>155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-15245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19000</v>
      </c>
      <c r="X36" s="32">
        <f t="shared" si="9"/>
        <v>34245</v>
      </c>
      <c r="Y36" s="117" t="s">
        <v>60</v>
      </c>
      <c r="Z36" s="113">
        <f>Z34*57%</f>
        <v>56999.999999999993</v>
      </c>
      <c r="AA36" s="113">
        <f>AD3-Z36</f>
        <v>-17007.999999999993</v>
      </c>
      <c r="AB36" s="113">
        <f>Z36+AA36</f>
        <v>39992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-15245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19000</v>
      </c>
      <c r="X37" s="32">
        <f t="shared" si="9"/>
        <v>34245</v>
      </c>
      <c r="Y37" s="117" t="s">
        <v>94</v>
      </c>
      <c r="Z37" s="113">
        <f>+Z35+Z36</f>
        <v>100000</v>
      </c>
      <c r="AA37" s="113">
        <f>SUM(AA35:AA36)</f>
        <v>-59852.999999999993</v>
      </c>
      <c r="AB37" s="113">
        <f>Z37+AA37</f>
        <v>40147.000000000007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>
        <v>0</v>
      </c>
      <c r="I38" s="26"/>
      <c r="J38" s="26"/>
      <c r="K38" s="27">
        <f t="shared" si="0"/>
        <v>0</v>
      </c>
      <c r="L38" s="28">
        <f>+L37-K38</f>
        <v>-15245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19000</v>
      </c>
      <c r="X38" s="32">
        <f t="shared" si="9"/>
        <v>34245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-15245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19000</v>
      </c>
      <c r="X39" s="32">
        <f t="shared" si="9"/>
        <v>34245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-15245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19000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-15245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19000</v>
      </c>
      <c r="X41" s="32">
        <f t="shared" si="9"/>
        <v>34245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-15245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19000</v>
      </c>
      <c r="X42" s="32">
        <f t="shared" si="9"/>
        <v>34245</v>
      </c>
      <c r="Y42" s="74" t="s">
        <v>96</v>
      </c>
      <c r="Z42" s="75">
        <v>35500</v>
      </c>
      <c r="AA42" s="129">
        <f>+H7+H8+H17+H18+H19+H22+H32+H33+H43+H44+H45+H53</f>
        <v>31854</v>
      </c>
      <c r="AB42" s="129">
        <f>+I7+I8+I17+I18+I19+I22+I32+I33+I43+I44+I45+I53</f>
        <v>4146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-15245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19000</v>
      </c>
      <c r="X43" s="32">
        <f t="shared" si="9"/>
        <v>34245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-15245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19000</v>
      </c>
      <c r="X44" s="32">
        <f t="shared" si="9"/>
        <v>34245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-15245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19000</v>
      </c>
      <c r="X45" s="32">
        <f t="shared" si="9"/>
        <v>34245</v>
      </c>
      <c r="Y45" s="131" t="s">
        <v>98</v>
      </c>
      <c r="Z45" s="132">
        <v>9600</v>
      </c>
      <c r="AA45" s="133">
        <f>+H12+H13+H37+H38</f>
        <v>4000</v>
      </c>
      <c r="AB45" s="133">
        <f>+I12+I13+I37+I38</f>
        <v>5600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-25245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11"/>
        <v>9000</v>
      </c>
      <c r="X46" s="32">
        <f t="shared" si="9"/>
        <v>34245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-25245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9000</v>
      </c>
      <c r="X47" s="32">
        <f t="shared" si="9"/>
        <v>34245</v>
      </c>
      <c r="Y47" s="57">
        <v>20000</v>
      </c>
      <c r="Z47" s="89">
        <v>4586</v>
      </c>
      <c r="AA47" s="35"/>
      <c r="AB47" s="57">
        <f>57000-AA60</f>
        <v>17008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-25245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9000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-25245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9000</v>
      </c>
      <c r="X49" s="32">
        <f t="shared" si="9"/>
        <v>34245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-25245</v>
      </c>
      <c r="M50" s="95"/>
      <c r="N50" s="804">
        <f>SUM(K50:K55)</f>
        <v>9000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9000</v>
      </c>
      <c r="X50" s="32">
        <f t="shared" si="9"/>
        <v>34245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26"/>
      <c r="J51" s="26"/>
      <c r="K51" s="444">
        <f t="shared" si="0"/>
        <v>0</v>
      </c>
      <c r="L51" s="28">
        <f t="shared" si="1"/>
        <v>-25245</v>
      </c>
      <c r="M51" s="234"/>
      <c r="N51" s="799"/>
      <c r="O51" s="184"/>
      <c r="P51" s="802"/>
      <c r="Q51" s="31"/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11"/>
        <v>9000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-25245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9000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26"/>
      <c r="J53" s="26"/>
      <c r="K53" s="27">
        <f t="shared" si="0"/>
        <v>2000</v>
      </c>
      <c r="L53" s="28">
        <f>+L52-K53</f>
        <v>-27245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/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11"/>
        <v>7000</v>
      </c>
      <c r="X53" s="32">
        <f t="shared" si="9"/>
        <v>34245</v>
      </c>
      <c r="Y53" s="80">
        <f>+Y52-15000</f>
        <v>-2513.5</v>
      </c>
      <c r="Z53" s="49">
        <f>+Z60-43000</f>
        <v>-42845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-27245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7000</v>
      </c>
      <c r="X54" s="32">
        <f t="shared" si="9"/>
        <v>34245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18">
        <v>7000</v>
      </c>
      <c r="J55" s="143"/>
      <c r="K55" s="27">
        <f t="shared" si="0"/>
        <v>7000</v>
      </c>
      <c r="L55" s="28">
        <f t="shared" si="1"/>
        <v>-34245</v>
      </c>
      <c r="M55" s="86"/>
      <c r="N55" s="800"/>
      <c r="O55" s="87">
        <f t="shared" si="12"/>
        <v>0.7</v>
      </c>
      <c r="P55" s="803"/>
      <c r="Q55" s="97">
        <f t="shared" si="13"/>
        <v>0</v>
      </c>
      <c r="R55" s="31"/>
      <c r="S55" s="423">
        <f t="shared" si="4"/>
        <v>0</v>
      </c>
      <c r="T55" s="596">
        <f>IF(I55&lt;&gt;0,+I55+Q55+R55,0)</f>
        <v>7000</v>
      </c>
      <c r="U55" s="423">
        <f t="shared" si="6"/>
        <v>0</v>
      </c>
      <c r="V55" s="423">
        <f>+S55+T55+U55</f>
        <v>7000</v>
      </c>
      <c r="W55" s="31">
        <f t="shared" si="11"/>
        <v>0</v>
      </c>
      <c r="X55" s="119">
        <f t="shared" si="9"/>
        <v>34245</v>
      </c>
      <c r="Y55" s="807">
        <f>Z8</f>
        <v>41920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-34245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0</v>
      </c>
      <c r="X56" s="119">
        <f t="shared" si="9"/>
        <v>34245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-34245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-34245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0</v>
      </c>
      <c r="X58" s="408"/>
      <c r="Y58" s="180" t="s">
        <v>7</v>
      </c>
      <c r="Z58" s="181">
        <f>+AB4</f>
        <v>47309</v>
      </c>
      <c r="AA58" s="182">
        <f>+AB3</f>
        <v>75231</v>
      </c>
      <c r="AB58" s="182">
        <f>Z12</f>
        <v>5000</v>
      </c>
      <c r="AC58" s="181">
        <f>AB10</f>
        <v>0</v>
      </c>
      <c r="AD58" s="183">
        <f>SUM(Z58:AC58)</f>
        <v>127540</v>
      </c>
      <c r="AE58" s="185">
        <v>90000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-34245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0</v>
      </c>
      <c r="X59" s="408"/>
      <c r="Y59" s="180" t="s">
        <v>17</v>
      </c>
      <c r="Z59" s="182">
        <f>+AC4</f>
        <v>157102</v>
      </c>
      <c r="AA59" s="182">
        <f>AC3</f>
        <v>155902</v>
      </c>
      <c r="AB59" s="182">
        <f>Z11</f>
        <v>10000</v>
      </c>
      <c r="AC59" s="181">
        <v>0</v>
      </c>
      <c r="AD59" s="183">
        <f>SUM(Z59:AC59)</f>
        <v>323004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-54045.666666666686</v>
      </c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-34245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0</v>
      </c>
      <c r="X60" s="408"/>
      <c r="Y60" s="180" t="s">
        <v>112</v>
      </c>
      <c r="Z60" s="181">
        <f>+AD4+AH11</f>
        <v>155</v>
      </c>
      <c r="AA60" s="182">
        <f>+AD3+AH10</f>
        <v>39992</v>
      </c>
      <c r="AB60" s="191">
        <v>0</v>
      </c>
      <c r="AC60" s="181">
        <v>0</v>
      </c>
      <c r="AD60" s="183">
        <f>SUM(Z60:AC60)</f>
        <v>40147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-34245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0</v>
      </c>
      <c r="X61" s="408"/>
      <c r="Y61" s="193" t="s">
        <v>113</v>
      </c>
      <c r="Z61" s="194">
        <f>SUM(Z58:Z60)</f>
        <v>204566</v>
      </c>
      <c r="AA61" s="194">
        <f>SUM(AA58:AA60)</f>
        <v>271125</v>
      </c>
      <c r="AB61" s="194">
        <f>SUM(AB58:AB60)</f>
        <v>15000</v>
      </c>
      <c r="AC61" s="194">
        <f>AB10</f>
        <v>0</v>
      </c>
      <c r="AD61" s="195">
        <f>SUM(AD58:AD60)</f>
        <v>490691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-34245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0</v>
      </c>
      <c r="X62" s="408"/>
      <c r="Y62" s="199" t="s">
        <v>114</v>
      </c>
      <c r="Z62" s="200">
        <f>(Z58/$Z$28+(Z59/$Z$27)+(Z60/$Z$29))</f>
        <v>205128.70504994917</v>
      </c>
      <c r="AA62" s="200">
        <f>(AA58/$Z$28+(AA59/$Z$27)+(AA60/$Z$29))</f>
        <v>271874.42215345229</v>
      </c>
      <c r="AB62" s="200">
        <f>(AB58/$Z$28)+(AB59/$Z$27)</f>
        <v>15040.930636036965</v>
      </c>
      <c r="AC62" s="200">
        <f>AB9</f>
        <v>0</v>
      </c>
      <c r="AD62" s="201">
        <f>(AD58/$Z$28+(AD59/$Z$27)+(AD60/$Z$29))</f>
        <v>492044.05783943849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-34245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0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-34245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0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-34245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0</v>
      </c>
      <c r="X65" s="408"/>
      <c r="Y65" s="371" t="s">
        <v>115</v>
      </c>
      <c r="Z65" s="484"/>
      <c r="AA65" s="203">
        <v>103857.30250000002</v>
      </c>
      <c r="AB65" s="204"/>
      <c r="AC65" s="204"/>
      <c r="AD65" s="205"/>
      <c r="AE65" s="32">
        <v>108797.23749999999</v>
      </c>
      <c r="AF65" s="53">
        <f>+AA65-AE65</f>
        <v>-4939.9349999999686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-34245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0</v>
      </c>
      <c r="X66" s="408"/>
      <c r="Y66" s="814" t="s">
        <v>116</v>
      </c>
      <c r="Z66" s="815"/>
      <c r="AA66" s="203">
        <v>77594.267960000012</v>
      </c>
      <c r="AB66" s="208"/>
      <c r="AC66" s="208"/>
      <c r="AD66" s="209"/>
      <c r="AE66" s="13">
        <v>52014.378240000005</v>
      </c>
      <c r="AF66" s="53">
        <f>+AA66-AE66</f>
        <v>25579.889720000006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-34245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-34245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0</v>
      </c>
      <c r="X68" s="211"/>
      <c r="Y68" s="814" t="s">
        <v>188</v>
      </c>
      <c r="Z68" s="815"/>
      <c r="AA68" s="207">
        <f>Z9*Z30+AC61</f>
        <v>490734.95687780884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-34245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-34245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0</v>
      </c>
      <c r="X70" s="211"/>
      <c r="Y70" s="213"/>
      <c r="Z70" s="232">
        <f>+Z61-2200</f>
        <v>202366</v>
      </c>
      <c r="AA70" s="213"/>
      <c r="AB70" s="213"/>
      <c r="AC70" s="213"/>
      <c r="AD70" s="233">
        <v>491197</v>
      </c>
      <c r="AE70" s="233">
        <f>+AD70-(Z61+AA61)</f>
        <v>15506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-34245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-34245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0</v>
      </c>
      <c r="X72" s="211"/>
      <c r="Y72" s="214" t="s">
        <v>47</v>
      </c>
      <c r="Z72" s="215">
        <f>Z8</f>
        <v>41920</v>
      </c>
      <c r="AA72" s="818" t="s">
        <v>118</v>
      </c>
      <c r="AB72" s="818"/>
      <c r="AC72" s="818"/>
      <c r="AD72" s="216">
        <v>0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24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-34245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0</v>
      </c>
      <c r="X73" s="211"/>
      <c r="Y73" s="214" t="s">
        <v>119</v>
      </c>
      <c r="Z73" s="480">
        <f>AD72</f>
        <v>0</v>
      </c>
      <c r="AA73" s="601" t="s">
        <v>120</v>
      </c>
      <c r="AB73" s="601"/>
      <c r="AC73" s="601"/>
      <c r="AD73" s="219">
        <f>24-AD72</f>
        <v>24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21500</v>
      </c>
      <c r="AO73" s="373">
        <f>AN73*AM72/24</f>
        <v>21500</v>
      </c>
      <c r="AP73" s="19">
        <f>21500*AD72/24</f>
        <v>0</v>
      </c>
      <c r="AQ73" s="19">
        <f>21500-AP73</f>
        <v>21500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-34245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600" t="s">
        <v>127</v>
      </c>
      <c r="AK74" s="819"/>
      <c r="AL74" s="819"/>
      <c r="AM74" s="20" t="s">
        <v>232</v>
      </c>
      <c r="AN74" s="19">
        <f>Z79-AN73</f>
        <v>-21500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-34245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0</v>
      </c>
      <c r="X75" s="211"/>
      <c r="Y75" s="600" t="s">
        <v>121</v>
      </c>
      <c r="Z75" s="600" t="s">
        <v>122</v>
      </c>
      <c r="AA75" s="600" t="s">
        <v>123</v>
      </c>
      <c r="AB75" s="820" t="s">
        <v>124</v>
      </c>
      <c r="AC75" s="821"/>
      <c r="AD75" s="822"/>
      <c r="AE75" s="600" t="s">
        <v>125</v>
      </c>
      <c r="AF75" s="600" t="s">
        <v>126</v>
      </c>
      <c r="AG75" s="149"/>
      <c r="AH75" s="600" t="s">
        <v>121</v>
      </c>
      <c r="AI75" s="600"/>
      <c r="AJ75" s="214" t="s">
        <v>7</v>
      </c>
      <c r="AK75" s="236">
        <f>((+AD78-AA78)/$AD$73)*24</f>
        <v>127540</v>
      </c>
      <c r="AL75" s="236">
        <f>AK75</f>
        <v>127540</v>
      </c>
      <c r="AM75" s="20" t="s">
        <v>7</v>
      </c>
      <c r="AN75" s="19">
        <f>AD58</f>
        <v>127540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-34245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0</v>
      </c>
      <c r="X76" s="211"/>
      <c r="Y76" s="600"/>
      <c r="Z76" s="600"/>
      <c r="AA76" s="600"/>
      <c r="AB76" s="600"/>
      <c r="AC76" s="600"/>
      <c r="AD76" s="600"/>
      <c r="AE76" s="600"/>
      <c r="AF76" s="600"/>
      <c r="AG76" s="149"/>
      <c r="AH76" s="600"/>
      <c r="AI76" s="600"/>
      <c r="AJ76" s="214" t="s">
        <v>6</v>
      </c>
      <c r="AK76" s="236">
        <f>((+AD79-AA79)/$AD$73)*24</f>
        <v>323004</v>
      </c>
      <c r="AL76" s="236">
        <f>+AK76</f>
        <v>323004</v>
      </c>
      <c r="AM76" s="464"/>
      <c r="AN76" s="19">
        <f>SUM(AN73:AN75)</f>
        <v>127540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-34245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0</v>
      </c>
      <c r="X77" s="211"/>
      <c r="Y77" s="600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600"/>
      <c r="AI77" s="78"/>
      <c r="AJ77" s="214" t="s">
        <v>8</v>
      </c>
      <c r="AK77" s="236">
        <f>((+AD80-AA80)/$AD$73)*24</f>
        <v>40147</v>
      </c>
      <c r="AL77" s="236">
        <f>AK77</f>
        <v>40147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-34245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0</v>
      </c>
      <c r="X78" s="211"/>
      <c r="Y78" s="214" t="s">
        <v>7</v>
      </c>
      <c r="Z78" s="224"/>
      <c r="AA78" s="225">
        <v>0</v>
      </c>
      <c r="AB78" s="226">
        <f t="shared" ref="AB78:AC80" si="22">+Z58</f>
        <v>47309</v>
      </c>
      <c r="AC78" s="226">
        <f t="shared" si="22"/>
        <v>75231</v>
      </c>
      <c r="AD78" s="226">
        <f>+AB78+AC78+AB58+AC58</f>
        <v>127540</v>
      </c>
      <c r="AE78" s="519">
        <f>+((AD58/24)*$AD$73)+AA78</f>
        <v>127540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490691</v>
      </c>
      <c r="AL78" s="231">
        <f>+SUM(AL75:AL77)</f>
        <v>490691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-34245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0</v>
      </c>
      <c r="X79" s="211"/>
      <c r="Y79" s="214" t="s">
        <v>6</v>
      </c>
      <c r="Z79" s="224"/>
      <c r="AA79" s="225">
        <f>0+0</f>
        <v>0</v>
      </c>
      <c r="AB79" s="226">
        <f t="shared" si="22"/>
        <v>157102</v>
      </c>
      <c r="AC79" s="226">
        <f t="shared" si="22"/>
        <v>155902</v>
      </c>
      <c r="AD79" s="226">
        <f>+AB79+AC79+AB59</f>
        <v>323004</v>
      </c>
      <c r="AE79" s="519">
        <f>+((AD59/24)*$AD$73)+AA79</f>
        <v>323004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v>536741</v>
      </c>
      <c r="AL79" s="481">
        <f>AK79-AK78</f>
        <v>46050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-34245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0</v>
      </c>
      <c r="X80" s="211"/>
      <c r="Y80" s="214" t="s">
        <v>8</v>
      </c>
      <c r="Z80" s="224"/>
      <c r="AA80" s="225">
        <v>0</v>
      </c>
      <c r="AB80" s="226">
        <f t="shared" si="22"/>
        <v>155</v>
      </c>
      <c r="AC80" s="226">
        <f t="shared" si="22"/>
        <v>39992</v>
      </c>
      <c r="AD80" s="226">
        <f>+AB80+AC80</f>
        <v>40147</v>
      </c>
      <c r="AE80" s="519">
        <f>+((AD60/24)*$AD$73)+AA80</f>
        <v>40147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-34245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0</v>
      </c>
      <c r="X81" s="211"/>
      <c r="Y81" s="228" t="s">
        <v>130</v>
      </c>
      <c r="Z81" s="229">
        <f t="shared" ref="Z81:AE81" si="23">SUM(Z78:Z80)</f>
        <v>0</v>
      </c>
      <c r="AA81" s="230">
        <f t="shared" si="23"/>
        <v>0</v>
      </c>
      <c r="AB81" s="229">
        <f t="shared" si="23"/>
        <v>204566</v>
      </c>
      <c r="AC81" s="229">
        <f t="shared" si="23"/>
        <v>271125</v>
      </c>
      <c r="AD81" s="229">
        <f t="shared" si="23"/>
        <v>490691</v>
      </c>
      <c r="AE81" s="229">
        <f t="shared" si="23"/>
        <v>490691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-34245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-34245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0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-34245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-34245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-34245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-34245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-34245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-34245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0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-34245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-34245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-34245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0</v>
      </c>
      <c r="Y92" s="882" t="s">
        <v>158</v>
      </c>
      <c r="Z92" s="586" t="s">
        <v>283</v>
      </c>
      <c r="AA92" s="587">
        <f>SUMIF($D$2:$D$57,"domiciliario",$I$2:$I$103)</f>
        <v>29397</v>
      </c>
      <c r="AB92" s="587">
        <f>SUMIF($D$2:$D$57,"domiciliario",$T$2:$T$103)</f>
        <v>29397</v>
      </c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-34245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0</v>
      </c>
      <c r="Y93" s="883"/>
      <c r="Z93" s="588" t="s">
        <v>284</v>
      </c>
      <c r="AA93" s="589">
        <f>SUMIF($D$2:$D$57,"industrial",$I$2:$I$103)</f>
        <v>0</v>
      </c>
      <c r="AB93" s="589">
        <f>SUMIF($D$2:$D$57,"industrial",$T$2:$T$103)</f>
        <v>0</v>
      </c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-34245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0</v>
      </c>
      <c r="Y94" s="883"/>
      <c r="Z94" s="588" t="s">
        <v>80</v>
      </c>
      <c r="AA94" s="589">
        <f>SUMIF($D$2:$D$57,"gnv",$I$2:$I$103)</f>
        <v>312</v>
      </c>
      <c r="AB94" s="589">
        <f>SUMIF($D$2:$D$57,"gnv",$T$2:$T$103)</f>
        <v>312</v>
      </c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-34245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0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17600</v>
      </c>
      <c r="AB95" s="589">
        <f>SUMIF($D$2:$D$57,"termico",$T$2:$T$103)+SUMIF($D$2:$D$57,"electrico",$T$2:$T$103)+SUMIF($D$2:$D$57,"térmico",$T$2:$T$103)</f>
        <v>17600</v>
      </c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-34245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0</v>
      </c>
      <c r="Y96" s="884"/>
      <c r="Z96" s="590" t="s">
        <v>286</v>
      </c>
      <c r="AA96" s="591"/>
      <c r="AB96" s="591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-34245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0</v>
      </c>
      <c r="Y97" s="825" t="s">
        <v>154</v>
      </c>
      <c r="Z97" s="489" t="s">
        <v>283</v>
      </c>
      <c r="AA97" s="490">
        <f>SUMIF($D$2:$D$57,"domiciliario",$H$2:$H$103)</f>
        <v>33003</v>
      </c>
      <c r="AB97" s="490">
        <f>SUMIF($D$2:$D$57,"domiciliario",$S$2:$S$103)</f>
        <v>33003</v>
      </c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-34245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0</v>
      </c>
      <c r="Y98" s="826"/>
      <c r="Z98" s="492" t="s">
        <v>284</v>
      </c>
      <c r="AA98" s="493">
        <f>SUMIF($D$2:$D$57,"industrial",$H$2:$H$103)</f>
        <v>37688</v>
      </c>
      <c r="AB98" s="493">
        <f>SUMIF($D$2:$D$57,"industrial",$S$2:$S$103)</f>
        <v>37688</v>
      </c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-34245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0</v>
      </c>
      <c r="Y99" s="826"/>
      <c r="Z99" s="492" t="s">
        <v>80</v>
      </c>
      <c r="AA99" s="493">
        <f>SUMIF($D$2:$D$57,"gnv",$H$2:$H$103)</f>
        <v>0</v>
      </c>
      <c r="AB99" s="493">
        <f>SUMIF($D$2:$D$57,"gnv",$S$2:$S$103)</f>
        <v>0</v>
      </c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-34245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0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86411</v>
      </c>
      <c r="AB100" s="493">
        <f>SUMIF($D$2:$D$57,"termico",$S$2:$S$103)+SUMIF($D$2:$D$57,"electrico",$S$2:$S$103)+SUMIF($D$2:$D$57,"térmico",$S$2:$S$103)</f>
        <v>86411</v>
      </c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-34245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0</v>
      </c>
      <c r="Y101" s="827"/>
      <c r="Z101" s="5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-34245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0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-34245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0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157102</v>
      </c>
      <c r="I105" s="252">
        <f>+SUM(I2:I103)</f>
        <v>47309</v>
      </c>
      <c r="J105" s="252">
        <f>+SUM(J2:J103)</f>
        <v>34400</v>
      </c>
      <c r="K105" s="252">
        <f>SUM(K2:K103)</f>
        <v>238811</v>
      </c>
      <c r="L105" s="253">
        <f>+L103</f>
        <v>-34245</v>
      </c>
      <c r="M105" s="252">
        <f>SUM(M2:M103)</f>
        <v>0</v>
      </c>
      <c r="N105" s="252">
        <f>SUM(N2:N103)</f>
        <v>238811</v>
      </c>
      <c r="O105" s="252"/>
      <c r="P105" s="252">
        <f>SUM(P2:P103)</f>
        <v>0</v>
      </c>
      <c r="Q105" s="252">
        <f>SUM(Q2:Q103)</f>
        <v>0</v>
      </c>
      <c r="R105" s="252">
        <f>SUM(R2:R103)</f>
        <v>-34245</v>
      </c>
      <c r="S105" s="252">
        <f>SUM(S2:S103)</f>
        <v>157102</v>
      </c>
      <c r="T105" s="252">
        <f>+SUM(T2:T103)</f>
        <v>47309</v>
      </c>
      <c r="U105" s="252">
        <f>SUM(U2:U103)</f>
        <v>155</v>
      </c>
      <c r="V105" s="252">
        <f>SUM(V2:V103)</f>
        <v>204566</v>
      </c>
      <c r="W105" s="254">
        <f>+W103</f>
        <v>0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>
        <f>J93-8783</f>
        <v>-8783</v>
      </c>
      <c r="S106" s="119">
        <v>131959</v>
      </c>
      <c r="T106" s="116">
        <v>78079</v>
      </c>
      <c r="W106" s="119"/>
      <c r="Y106" s="830"/>
      <c r="Z106" s="5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575" t="s">
        <v>304</v>
      </c>
      <c r="I107" s="575" t="s">
        <v>150</v>
      </c>
      <c r="J107" s="575" t="s">
        <v>306</v>
      </c>
      <c r="K107" s="576" t="s">
        <v>307</v>
      </c>
      <c r="L107" s="287" t="s">
        <v>308</v>
      </c>
      <c r="M107" s="259"/>
      <c r="N107" s="259"/>
      <c r="O107" s="259"/>
      <c r="P107" s="259"/>
      <c r="Q107" s="116"/>
      <c r="R107" s="116"/>
      <c r="S107" s="119">
        <f>S106-S105</f>
        <v>-25143</v>
      </c>
      <c r="T107" s="119">
        <f>T106-T105</f>
        <v>30770</v>
      </c>
      <c r="U107" s="116">
        <v>677</v>
      </c>
      <c r="V107" s="119">
        <f>+V51-U107</f>
        <v>-677</v>
      </c>
      <c r="W107" s="119"/>
      <c r="Y107" s="502" t="s">
        <v>289</v>
      </c>
      <c r="Z107" s="503" t="s">
        <v>289</v>
      </c>
      <c r="AA107" s="504">
        <f>SUMIF($D$2:$D$57,"EXPORTACION",$J$2:$J$103)</f>
        <v>34400</v>
      </c>
      <c r="AB107" s="505">
        <f>SUMIF($D$2:$D$57,"EXPORTACION",$U$2:$U$103)</f>
        <v>155</v>
      </c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 t="s">
        <v>193</v>
      </c>
      <c r="I108" s="257">
        <v>15000</v>
      </c>
      <c r="J108" s="574">
        <f>I108/$I$111</f>
        <v>0.46875</v>
      </c>
      <c r="K108" s="119">
        <f>$W$50*J108</f>
        <v>4218.75</v>
      </c>
      <c r="L108" s="119">
        <f>I108-K108</f>
        <v>10781.25</v>
      </c>
      <c r="M108" s="259"/>
      <c r="N108" s="259"/>
      <c r="O108" s="259"/>
      <c r="P108" s="259"/>
      <c r="Q108" s="116"/>
      <c r="R108" s="116"/>
      <c r="S108" s="119"/>
      <c r="T108" s="116"/>
      <c r="U108" s="116"/>
      <c r="V108" s="121">
        <v>7</v>
      </c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 t="s">
        <v>239</v>
      </c>
      <c r="I109" s="257">
        <v>15000</v>
      </c>
      <c r="J109" s="574">
        <f>I109/$I$111</f>
        <v>0.46875</v>
      </c>
      <c r="K109" s="119">
        <f>$W$50*J109</f>
        <v>4218.75</v>
      </c>
      <c r="L109" s="119">
        <f>I109-K109</f>
        <v>10781.25</v>
      </c>
      <c r="M109" s="259"/>
      <c r="N109" s="259"/>
      <c r="O109" s="259"/>
      <c r="P109" s="259"/>
      <c r="Q109" s="116"/>
      <c r="R109" s="116"/>
      <c r="S109" s="119"/>
      <c r="T109" s="116"/>
      <c r="U109" s="116"/>
      <c r="V109" s="119">
        <f>+V107*V108</f>
        <v>-4739</v>
      </c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 t="s">
        <v>305</v>
      </c>
      <c r="I110" s="260">
        <v>2000</v>
      </c>
      <c r="J110" s="574">
        <f>I110/$I$111</f>
        <v>6.25E-2</v>
      </c>
      <c r="K110" s="119">
        <f>$W$50*J110</f>
        <v>562.5</v>
      </c>
      <c r="L110" s="119">
        <f>I110-K110</f>
        <v>1437.5</v>
      </c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573" t="s">
        <v>9</v>
      </c>
      <c r="I111" s="572">
        <f>SUM(I108:I110)</f>
        <v>32000</v>
      </c>
      <c r="J111" s="574">
        <f>SUM(J108:J110)</f>
        <v>1</v>
      </c>
      <c r="K111" s="265">
        <f>SUM(K108:K110)</f>
        <v>9000</v>
      </c>
      <c r="L111" s="265">
        <f>SUM(L108:L110)</f>
        <v>23000</v>
      </c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99534</v>
      </c>
      <c r="J115" s="274">
        <f>SUM(H2:H5)+H14+SUM(H30:H32)+H35+18820</f>
        <v>32531</v>
      </c>
      <c r="K115" s="845">
        <f t="shared" ref="K115:K123" si="28">I115-J115</f>
        <v>67003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2000</v>
      </c>
      <c r="J116" s="275">
        <f>I116+0</f>
        <v>2000</v>
      </c>
      <c r="K116" s="839">
        <f t="shared" si="28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126513</v>
      </c>
      <c r="J117" s="275">
        <f>I117</f>
        <v>126513</v>
      </c>
      <c r="K117" s="839">
        <f t="shared" si="28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28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28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93120</v>
      </c>
      <c r="J120" s="275">
        <f>I120</f>
        <v>93120</v>
      </c>
      <c r="K120" s="839">
        <f t="shared" si="28"/>
        <v>0</v>
      </c>
      <c r="L120" s="840"/>
      <c r="AJ120" s="109" t="s">
        <v>155</v>
      </c>
      <c r="AK120" s="236">
        <v>169523</v>
      </c>
    </row>
    <row r="121" spans="1:40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7109</v>
      </c>
      <c r="J121" s="275">
        <f>I121+0</f>
        <v>7109</v>
      </c>
      <c r="K121" s="839">
        <f t="shared" si="28"/>
        <v>0</v>
      </c>
      <c r="L121" s="840"/>
      <c r="AJ121" s="354" t="s">
        <v>135</v>
      </c>
      <c r="AK121" s="355">
        <v>173236</v>
      </c>
    </row>
    <row r="122" spans="1:40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4691</v>
      </c>
      <c r="J122" s="277">
        <f>SUM(I15:I24)+SUM(I38:I43)+4379</f>
        <v>4691</v>
      </c>
      <c r="K122" s="839">
        <f t="shared" si="28"/>
        <v>0</v>
      </c>
      <c r="L122" s="840"/>
      <c r="M122" s="50"/>
      <c r="N122" s="50"/>
      <c r="O122" s="50"/>
      <c r="P122" s="50"/>
      <c r="AJ122" s="109"/>
      <c r="AK122" s="236"/>
    </row>
    <row r="123" spans="1:40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28"/>
        <v>0</v>
      </c>
      <c r="L123" s="840"/>
      <c r="AJ123" s="354"/>
      <c r="AK123" s="355"/>
    </row>
    <row r="124" spans="1:40" ht="13.5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29">I129-J129</f>
        <v>0</v>
      </c>
      <c r="L129" s="854"/>
    </row>
    <row r="130" spans="1:26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29"/>
        <v>1728</v>
      </c>
      <c r="L130" s="854"/>
    </row>
    <row r="131" spans="1:26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29"/>
        <v>0</v>
      </c>
      <c r="L131" s="854"/>
    </row>
    <row r="132" spans="1:26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29"/>
        <v>6594</v>
      </c>
      <c r="L132" s="854"/>
    </row>
    <row r="133" spans="1:26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29"/>
        <v>0</v>
      </c>
      <c r="L133" s="854"/>
    </row>
    <row r="134" spans="1:26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29"/>
        <v>0</v>
      </c>
      <c r="L134" s="854"/>
    </row>
    <row r="135" spans="1:26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29"/>
        <v>0</v>
      </c>
      <c r="L135" s="854"/>
    </row>
    <row r="136" spans="1:26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29"/>
        <v>0</v>
      </c>
      <c r="L136" s="854"/>
    </row>
    <row r="137" spans="1:26" ht="13.5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29"/>
        <v>262</v>
      </c>
      <c r="L137" s="854"/>
      <c r="X137" s="20"/>
      <c r="Z137" s="20"/>
    </row>
    <row r="138" spans="1:26" ht="15.75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x14ac:dyDescent="0.2">
      <c r="G141" s="864" t="s">
        <v>154</v>
      </c>
      <c r="H141" s="295" t="s">
        <v>28</v>
      </c>
      <c r="I141" s="296">
        <f t="shared" ref="I141:K151" si="30">I115+I128</f>
        <v>99534</v>
      </c>
      <c r="J141" s="296">
        <f t="shared" si="30"/>
        <v>32531</v>
      </c>
      <c r="K141" s="867">
        <f t="shared" si="30"/>
        <v>67003</v>
      </c>
      <c r="L141" s="868"/>
      <c r="X141" s="20"/>
      <c r="Z141" s="20"/>
    </row>
    <row r="142" spans="1:26" x14ac:dyDescent="0.2">
      <c r="C142" s="20"/>
      <c r="F142" s="20"/>
      <c r="G142" s="865"/>
      <c r="H142" s="297" t="s">
        <v>80</v>
      </c>
      <c r="I142" s="298">
        <f t="shared" si="30"/>
        <v>2000</v>
      </c>
      <c r="J142" s="298">
        <f t="shared" si="30"/>
        <v>2000</v>
      </c>
      <c r="K142" s="869">
        <f t="shared" si="30"/>
        <v>0</v>
      </c>
      <c r="L142" s="870"/>
      <c r="X142" s="20"/>
      <c r="Z142" s="20"/>
    </row>
    <row r="143" spans="1:26" x14ac:dyDescent="0.2">
      <c r="G143" s="865"/>
      <c r="H143" s="297" t="s">
        <v>61</v>
      </c>
      <c r="I143" s="298">
        <f t="shared" si="30"/>
        <v>128241</v>
      </c>
      <c r="J143" s="298">
        <f t="shared" si="30"/>
        <v>126513</v>
      </c>
      <c r="K143" s="869">
        <f t="shared" si="30"/>
        <v>1728</v>
      </c>
      <c r="L143" s="870"/>
      <c r="X143" s="20"/>
      <c r="Z143" s="20"/>
    </row>
    <row r="144" spans="1:26" x14ac:dyDescent="0.2">
      <c r="G144" s="865"/>
      <c r="H144" s="297" t="s">
        <v>156</v>
      </c>
      <c r="I144" s="298">
        <f t="shared" si="30"/>
        <v>14000</v>
      </c>
      <c r="J144" s="298">
        <f t="shared" si="30"/>
        <v>14000</v>
      </c>
      <c r="K144" s="869">
        <f t="shared" si="30"/>
        <v>0</v>
      </c>
      <c r="L144" s="870"/>
      <c r="X144" s="20"/>
      <c r="Z144" s="20"/>
    </row>
    <row r="145" spans="3:26" ht="13.5" thickBot="1" x14ac:dyDescent="0.25">
      <c r="G145" s="866"/>
      <c r="H145" s="299" t="s">
        <v>157</v>
      </c>
      <c r="I145" s="300">
        <f t="shared" si="30"/>
        <v>67705</v>
      </c>
      <c r="J145" s="300">
        <f t="shared" si="30"/>
        <v>61111</v>
      </c>
      <c r="K145" s="871">
        <f t="shared" si="30"/>
        <v>6594</v>
      </c>
      <c r="L145" s="872"/>
      <c r="X145" s="20"/>
      <c r="Z145" s="20"/>
    </row>
    <row r="146" spans="3:26" x14ac:dyDescent="0.2">
      <c r="G146" s="879" t="s">
        <v>158</v>
      </c>
      <c r="H146" s="295" t="s">
        <v>28</v>
      </c>
      <c r="I146" s="296">
        <f t="shared" si="30"/>
        <v>93135</v>
      </c>
      <c r="J146" s="296">
        <f t="shared" si="30"/>
        <v>93135</v>
      </c>
      <c r="K146" s="867">
        <f t="shared" si="30"/>
        <v>0</v>
      </c>
      <c r="L146" s="868"/>
      <c r="X146" s="20"/>
      <c r="Z146" s="20"/>
    </row>
    <row r="147" spans="3:26" x14ac:dyDescent="0.2">
      <c r="G147" s="880"/>
      <c r="H147" s="297" t="s">
        <v>80</v>
      </c>
      <c r="I147" s="301">
        <f t="shared" si="30"/>
        <v>7109</v>
      </c>
      <c r="J147" s="301">
        <f t="shared" si="30"/>
        <v>7109</v>
      </c>
      <c r="K147" s="869">
        <f t="shared" si="30"/>
        <v>0</v>
      </c>
      <c r="L147" s="870"/>
      <c r="X147" s="20"/>
      <c r="Z147" s="20"/>
    </row>
    <row r="148" spans="3:26" x14ac:dyDescent="0.2">
      <c r="G148" s="880"/>
      <c r="H148" s="297" t="s">
        <v>61</v>
      </c>
      <c r="I148" s="301">
        <f t="shared" si="30"/>
        <v>4691</v>
      </c>
      <c r="J148" s="301">
        <f t="shared" si="30"/>
        <v>4691</v>
      </c>
      <c r="K148" s="869">
        <f t="shared" si="30"/>
        <v>0</v>
      </c>
      <c r="L148" s="870"/>
      <c r="X148" s="20"/>
      <c r="Z148" s="20"/>
    </row>
    <row r="149" spans="3:26" x14ac:dyDescent="0.2">
      <c r="G149" s="880"/>
      <c r="H149" s="297" t="s">
        <v>156</v>
      </c>
      <c r="I149" s="301">
        <f t="shared" si="30"/>
        <v>38756</v>
      </c>
      <c r="J149" s="301">
        <f t="shared" si="30"/>
        <v>38756</v>
      </c>
      <c r="K149" s="869">
        <f t="shared" si="30"/>
        <v>0</v>
      </c>
      <c r="L149" s="870"/>
      <c r="X149" s="20"/>
      <c r="Z149" s="20"/>
    </row>
    <row r="150" spans="3:26" ht="13.5" thickBot="1" x14ac:dyDescent="0.25">
      <c r="G150" s="881"/>
      <c r="H150" s="299" t="s">
        <v>157</v>
      </c>
      <c r="I150" s="302">
        <f t="shared" si="30"/>
        <v>1700</v>
      </c>
      <c r="J150" s="302">
        <f t="shared" si="30"/>
        <v>1438</v>
      </c>
      <c r="K150" s="871">
        <f t="shared" si="30"/>
        <v>262</v>
      </c>
      <c r="L150" s="872"/>
      <c r="X150" s="20"/>
      <c r="Z150" s="20"/>
    </row>
    <row r="151" spans="3:26" ht="15.75" thickBot="1" x14ac:dyDescent="0.25">
      <c r="G151" s="847" t="s">
        <v>162</v>
      </c>
      <c r="H151" s="873"/>
      <c r="I151" s="303">
        <f t="shared" si="30"/>
        <v>300000</v>
      </c>
      <c r="J151" s="303">
        <f t="shared" si="30"/>
        <v>108136</v>
      </c>
      <c r="K151" s="874">
        <f>I151-J151</f>
        <v>191864</v>
      </c>
      <c r="L151" s="873"/>
      <c r="X151" s="20"/>
      <c r="Z151" s="20"/>
    </row>
    <row r="152" spans="3:26" ht="15.75" thickBot="1" x14ac:dyDescent="0.3">
      <c r="G152" s="875" t="s">
        <v>163</v>
      </c>
      <c r="H152" s="876"/>
      <c r="I152" s="304">
        <f>SUM(I141:I150)</f>
        <v>456871</v>
      </c>
      <c r="J152" s="304">
        <f>SUM(J141:J150)</f>
        <v>381284</v>
      </c>
      <c r="K152" s="877">
        <f>SUM(K141:L150)</f>
        <v>75587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J156" s="307">
        <v>28391</v>
      </c>
      <c r="Q156" s="20">
        <v>8815</v>
      </c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H158" s="307" t="s">
        <v>249</v>
      </c>
      <c r="I158" s="307">
        <v>20500</v>
      </c>
      <c r="J158" s="18">
        <f>I158/I162</f>
        <v>0.46345488662310946</v>
      </c>
      <c r="L158" s="80">
        <f>J156*$J$158</f>
        <v>13157.9476861167</v>
      </c>
      <c r="N158" s="20" t="s">
        <v>256</v>
      </c>
      <c r="P158" s="20">
        <v>360</v>
      </c>
      <c r="Q158" s="20">
        <v>4733</v>
      </c>
      <c r="R158" s="18">
        <f>Q158/Q162</f>
        <v>0.34464428748270587</v>
      </c>
      <c r="S158" s="18"/>
      <c r="T158" s="80">
        <f>Q156*R158</f>
        <v>3038.0393941600523</v>
      </c>
      <c r="X158" s="20"/>
      <c r="Z158" s="20"/>
    </row>
    <row r="159" spans="3:26" x14ac:dyDescent="0.2">
      <c r="C159" s="20"/>
      <c r="F159" s="20"/>
      <c r="H159" s="307" t="s">
        <v>250</v>
      </c>
      <c r="I159" s="307">
        <v>13733</v>
      </c>
      <c r="J159" s="18">
        <f>I159/I162</f>
        <v>0.31046955892659328</v>
      </c>
      <c r="L159" s="80">
        <f>J156*$J$159</f>
        <v>8814.541247484909</v>
      </c>
      <c r="P159" s="20">
        <v>361</v>
      </c>
      <c r="Q159" s="20">
        <v>1500</v>
      </c>
      <c r="R159" s="18">
        <f>Q159/Q162</f>
        <v>0.10922595208621569</v>
      </c>
      <c r="S159" s="18"/>
      <c r="T159" s="80">
        <f>Q156*R159</f>
        <v>962.82676763999132</v>
      </c>
      <c r="X159" s="20"/>
      <c r="Z159" s="20"/>
    </row>
    <row r="160" spans="3:26" x14ac:dyDescent="0.2">
      <c r="C160" s="20"/>
      <c r="F160" s="20"/>
      <c r="H160" s="307" t="s">
        <v>251</v>
      </c>
      <c r="I160" s="307">
        <v>10000</v>
      </c>
      <c r="J160" s="18">
        <f>I160/I162</f>
        <v>0.22607555445029728</v>
      </c>
      <c r="L160" s="80">
        <f>J156*$J$160</f>
        <v>6418.5110663983905</v>
      </c>
      <c r="P160" s="20">
        <v>363</v>
      </c>
      <c r="Q160" s="20">
        <v>7500</v>
      </c>
      <c r="R160" s="18">
        <f>Q160/Q162</f>
        <v>0.54612976043107841</v>
      </c>
      <c r="S160" s="18"/>
      <c r="T160" s="80">
        <f>Q156*R160</f>
        <v>4814.1338381999558</v>
      </c>
      <c r="X160" s="20"/>
      <c r="Z160" s="20"/>
    </row>
    <row r="161" spans="3:26" x14ac:dyDescent="0.2">
      <c r="C161" s="20"/>
      <c r="F161" s="20"/>
      <c r="J161" s="20"/>
      <c r="X161" s="20"/>
      <c r="Z161" s="20"/>
    </row>
    <row r="162" spans="3:26" x14ac:dyDescent="0.2">
      <c r="C162" s="20"/>
      <c r="F162" s="20"/>
      <c r="I162" s="307">
        <f>SUM(I158:I160)</f>
        <v>44233</v>
      </c>
      <c r="J162" s="20"/>
      <c r="Q162" s="20">
        <f>SUM(Q158:Q160)</f>
        <v>13733</v>
      </c>
      <c r="X162" s="20"/>
      <c r="Z162" s="20"/>
    </row>
    <row r="163" spans="3:26" x14ac:dyDescent="0.2">
      <c r="C163" s="20"/>
      <c r="F163" s="20"/>
      <c r="J163" s="20"/>
      <c r="X163" s="20"/>
      <c r="Z163" s="20"/>
    </row>
    <row r="164" spans="3:26" x14ac:dyDescent="0.2">
      <c r="C164" s="20"/>
      <c r="F164" s="20"/>
      <c r="J164" s="20"/>
      <c r="X164" s="20"/>
      <c r="Z164" s="20"/>
    </row>
    <row r="165" spans="3:26" x14ac:dyDescent="0.2">
      <c r="C165" s="20"/>
      <c r="F165" s="20"/>
      <c r="H165" s="458"/>
      <c r="I165" s="459" t="s">
        <v>252</v>
      </c>
      <c r="J165" s="78">
        <v>14260</v>
      </c>
      <c r="K165" s="78"/>
      <c r="P165" s="20" t="s">
        <v>254</v>
      </c>
      <c r="Q165" s="20">
        <v>6506</v>
      </c>
      <c r="X165" s="20"/>
      <c r="Z165" s="20"/>
    </row>
    <row r="166" spans="3:26" x14ac:dyDescent="0.2">
      <c r="C166" s="20"/>
      <c r="F166" s="20"/>
      <c r="H166" s="458" t="s">
        <v>253</v>
      </c>
      <c r="J166" s="20"/>
      <c r="N166" s="20" t="s">
        <v>255</v>
      </c>
      <c r="X166" s="20"/>
      <c r="Z166" s="20"/>
    </row>
    <row r="167" spans="3:26" x14ac:dyDescent="0.2">
      <c r="C167" s="20"/>
      <c r="F167" s="20"/>
      <c r="H167" s="458">
        <v>355</v>
      </c>
      <c r="I167" s="307">
        <v>5205</v>
      </c>
      <c r="J167" s="18">
        <f>I167/I170</f>
        <v>0.22430510665804784</v>
      </c>
      <c r="K167" s="80">
        <f>J165*J167</f>
        <v>3198.5908209437621</v>
      </c>
      <c r="N167" s="20">
        <v>364</v>
      </c>
      <c r="P167" s="20">
        <v>3600</v>
      </c>
      <c r="Q167" s="461">
        <f>P167/P170</f>
        <v>0.34003967129498441</v>
      </c>
      <c r="R167" s="80">
        <f>Q165*Q167</f>
        <v>2212.2981014451684</v>
      </c>
      <c r="X167" s="20"/>
      <c r="Z167" s="20"/>
    </row>
    <row r="168" spans="3:26" x14ac:dyDescent="0.2">
      <c r="C168" s="20"/>
      <c r="F168" s="20"/>
      <c r="H168" s="458">
        <v>356</v>
      </c>
      <c r="I168" s="307">
        <v>18000</v>
      </c>
      <c r="J168" s="18">
        <f>I168/I170</f>
        <v>0.77569489334195219</v>
      </c>
      <c r="K168" s="80">
        <f>J165*J168</f>
        <v>11061.409179056238</v>
      </c>
      <c r="N168" s="20">
        <v>365</v>
      </c>
      <c r="P168" s="20">
        <v>6000</v>
      </c>
      <c r="Q168" s="461">
        <f>P168/P170</f>
        <v>0.56673278549164074</v>
      </c>
      <c r="R168" s="80">
        <f>Q165*Q168</f>
        <v>3687.1635024086145</v>
      </c>
      <c r="X168" s="20"/>
      <c r="Z168" s="20"/>
    </row>
    <row r="169" spans="3:26" x14ac:dyDescent="0.2">
      <c r="C169" s="20"/>
      <c r="F169" s="20"/>
      <c r="H169" s="460"/>
      <c r="J169" s="20"/>
      <c r="N169" s="20" t="s">
        <v>257</v>
      </c>
      <c r="P169" s="20">
        <v>987</v>
      </c>
      <c r="Q169" s="461">
        <f>P169/P170</f>
        <v>9.3227543213374897E-2</v>
      </c>
      <c r="R169" s="80">
        <f>Q165*Q169</f>
        <v>606.53839614621711</v>
      </c>
      <c r="X169" s="20"/>
      <c r="Z169" s="20"/>
    </row>
    <row r="170" spans="3:26" x14ac:dyDescent="0.2">
      <c r="C170" s="20"/>
      <c r="F170" s="20"/>
      <c r="H170" s="458"/>
      <c r="I170" s="458">
        <f>SUM(I167:I168)</f>
        <v>23205</v>
      </c>
      <c r="J170" s="78"/>
      <c r="K170" s="78"/>
      <c r="P170" s="20">
        <f>SUM(P167:P169)</f>
        <v>10587</v>
      </c>
      <c r="X170" s="20"/>
      <c r="Z170" s="20"/>
    </row>
    <row r="171" spans="3:26" ht="15" x14ac:dyDescent="0.25">
      <c r="C171" s="20"/>
      <c r="F171" s="20"/>
      <c r="G171" s="305"/>
      <c r="H171" s="306"/>
      <c r="J171" s="20"/>
      <c r="X171" s="20"/>
      <c r="Z171" s="20"/>
    </row>
    <row r="172" spans="3:26" x14ac:dyDescent="0.2">
      <c r="C172" s="20"/>
      <c r="F172" s="20"/>
      <c r="J172" s="20"/>
      <c r="X172" s="20"/>
      <c r="Z172" s="20"/>
    </row>
    <row r="173" spans="3:26" x14ac:dyDescent="0.2">
      <c r="C173" s="20"/>
      <c r="F173" s="20"/>
      <c r="J173" s="20"/>
      <c r="X173" s="20"/>
      <c r="Z173" s="20"/>
    </row>
  </sheetData>
  <autoFilter ref="A1:AN152">
    <filterColumn colId="27" showButton="0"/>
    <filterColumn colId="28" showButton="0"/>
    <filterColumn colId="29" showButton="0"/>
  </autoFilter>
  <mergeCells count="87"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25:H125"/>
    <mergeCell ref="K125:L125"/>
    <mergeCell ref="G126:H126"/>
    <mergeCell ref="I126:L126"/>
    <mergeCell ref="K127:L127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A113:A114"/>
    <mergeCell ref="B113:B114"/>
    <mergeCell ref="G113:H113"/>
    <mergeCell ref="I113:L113"/>
    <mergeCell ref="K114:L114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49" priority="3" operator="lessThan">
      <formula>$AA$78</formula>
    </cfRule>
    <cfRule type="cellIs" dxfId="148" priority="5" operator="greaterThan">
      <formula>$AE$78</formula>
    </cfRule>
  </conditionalFormatting>
  <conditionalFormatting sqref="AA79">
    <cfRule type="cellIs" dxfId="147" priority="4" operator="greaterThan">
      <formula>$AE$79</formula>
    </cfRule>
  </conditionalFormatting>
  <conditionalFormatting sqref="AA80">
    <cfRule type="cellIs" dxfId="146" priority="2" operator="greaterThan">
      <formula>$AE$79</formula>
    </cfRule>
  </conditionalFormatting>
  <conditionalFormatting sqref="AU4:AU23">
    <cfRule type="cellIs" dxfId="145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002060"/>
  </sheetPr>
  <dimension ref="A1:AU186"/>
  <sheetViews>
    <sheetView topLeftCell="T39" zoomScale="90" zoomScaleNormal="90" workbookViewId="0">
      <selection activeCell="AD62" sqref="AD62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612">
        <v>3000</v>
      </c>
      <c r="I2" s="26">
        <v>0</v>
      </c>
      <c r="J2" s="26"/>
      <c r="K2" s="27">
        <f>SUM(H2:J2)</f>
        <v>3000</v>
      </c>
      <c r="L2" s="28">
        <f>AA4-K2</f>
        <v>207973</v>
      </c>
      <c r="M2" s="29"/>
      <c r="N2" s="798">
        <f>SUM(K2:K26)</f>
        <v>212488</v>
      </c>
      <c r="O2" s="30">
        <f>+K2/$N$2</f>
        <v>1.4118444335680132E-2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207973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610" t="s">
        <v>31</v>
      </c>
      <c r="AE2" s="610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612">
        <v>1100</v>
      </c>
      <c r="J3" s="26"/>
      <c r="K3" s="27">
        <f t="shared" ref="K3:K73" si="0">SUM(H3:J3)</f>
        <v>1100</v>
      </c>
      <c r="L3" s="28">
        <f t="shared" ref="L3:L66" si="1">+L2-K3</f>
        <v>206873</v>
      </c>
      <c r="M3" s="29"/>
      <c r="N3" s="799"/>
      <c r="O3" s="30">
        <f t="shared" ref="O3:O29" si="2">+K3/$N$2</f>
        <v>5.176762923082715E-3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206873</v>
      </c>
      <c r="X3" s="32">
        <f t="shared" ref="X3:X56" si="9">W3-L3</f>
        <v>0</v>
      </c>
      <c r="Y3" s="37" t="s">
        <v>34</v>
      </c>
      <c r="Z3" s="38">
        <f>ROUND((Z13*57%),0)</f>
        <v>280440</v>
      </c>
      <c r="AA3" s="39">
        <f>ROUND((+Z14*0.57),0)</f>
        <v>279662</v>
      </c>
      <c r="AB3" s="454">
        <v>40114</v>
      </c>
      <c r="AC3" s="455">
        <v>181033</v>
      </c>
      <c r="AD3" s="40">
        <v>58451</v>
      </c>
      <c r="AE3" s="41">
        <f>SUM(AB3:AD3)</f>
        <v>279598</v>
      </c>
      <c r="AF3" s="41">
        <f>AA3-AE3</f>
        <v>64</v>
      </c>
      <c r="AG3" s="42">
        <f>AA3-AB3-AC3-AD3</f>
        <v>64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612">
        <v>22400</v>
      </c>
      <c r="J4" s="26"/>
      <c r="K4" s="27">
        <f t="shared" si="0"/>
        <v>22400</v>
      </c>
      <c r="L4" s="28">
        <f t="shared" si="1"/>
        <v>184473</v>
      </c>
      <c r="M4" s="29"/>
      <c r="N4" s="799"/>
      <c r="O4" s="30">
        <f t="shared" si="2"/>
        <v>0.10541771770641166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184473</v>
      </c>
      <c r="X4" s="32">
        <f t="shared" si="9"/>
        <v>0</v>
      </c>
      <c r="Y4" s="37" t="s">
        <v>38</v>
      </c>
      <c r="Z4" s="38">
        <f>ROUND((Z13*43%),0)</f>
        <v>211560</v>
      </c>
      <c r="AA4" s="39">
        <f>ROUND((+Z14*0.43),0)</f>
        <v>210973</v>
      </c>
      <c r="AB4" s="43">
        <f>T105</f>
        <v>44838</v>
      </c>
      <c r="AC4" s="43">
        <f>S105</f>
        <v>152250</v>
      </c>
      <c r="AD4" s="40">
        <f>U105</f>
        <v>13885</v>
      </c>
      <c r="AE4" s="41">
        <f>SUM(AB4:AD4)</f>
        <v>210973</v>
      </c>
      <c r="AF4" s="41">
        <f>AA4-AE4</f>
        <v>0</v>
      </c>
      <c r="AG4" s="42">
        <f>AA4-AB4-AC4-AD4</f>
        <v>0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612">
        <v>1200</v>
      </c>
      <c r="J5" s="26"/>
      <c r="K5" s="27">
        <f t="shared" si="0"/>
        <v>1200</v>
      </c>
      <c r="L5" s="28">
        <f t="shared" si="1"/>
        <v>183273</v>
      </c>
      <c r="M5" s="29"/>
      <c r="N5" s="799"/>
      <c r="O5" s="30">
        <f t="shared" si="2"/>
        <v>5.6473777342720532E-3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183273</v>
      </c>
      <c r="X5" s="32">
        <f t="shared" si="9"/>
        <v>0</v>
      </c>
      <c r="Y5" s="44" t="s">
        <v>41</v>
      </c>
      <c r="Z5" s="38">
        <f>SUM(Z3:Z4)</f>
        <v>492000</v>
      </c>
      <c r="AA5" s="45">
        <f>SUM(AA3:AA4)</f>
        <v>490635</v>
      </c>
      <c r="AB5" s="46">
        <f>SUM(AB3:AB4)</f>
        <v>84952</v>
      </c>
      <c r="AC5" s="41">
        <f>SUM(AC3:AC4)</f>
        <v>333283</v>
      </c>
      <c r="AD5" s="40">
        <f>SUM(AD3:AD4)</f>
        <v>72336</v>
      </c>
      <c r="AE5" s="41">
        <f>SUM(AB5:AD5)</f>
        <v>490571</v>
      </c>
      <c r="AF5" s="47">
        <f>SUM(AF3:AF4)</f>
        <v>64</v>
      </c>
      <c r="AG5" s="47">
        <f>SUM(AG3:AG4)</f>
        <v>64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612">
        <v>12000</v>
      </c>
      <c r="I6" s="26"/>
      <c r="J6" s="26"/>
      <c r="K6" s="27">
        <f t="shared" si="0"/>
        <v>12000</v>
      </c>
      <c r="L6" s="28">
        <f t="shared" si="1"/>
        <v>171273</v>
      </c>
      <c r="M6" s="29"/>
      <c r="N6" s="799"/>
      <c r="O6" s="30">
        <f t="shared" si="2"/>
        <v>5.6473777342720528E-2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171273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612">
        <f>12370+1796</f>
        <v>14166</v>
      </c>
      <c r="I7" s="612">
        <f>800+604+2430</f>
        <v>3834</v>
      </c>
      <c r="J7" s="26"/>
      <c r="K7" s="27">
        <f t="shared" si="0"/>
        <v>18000</v>
      </c>
      <c r="L7" s="28">
        <f t="shared" si="1"/>
        <v>153273</v>
      </c>
      <c r="M7" s="29"/>
      <c r="N7" s="799"/>
      <c r="O7" s="30">
        <f t="shared" si="2"/>
        <v>8.4710666014080796E-2</v>
      </c>
      <c r="P7" s="802"/>
      <c r="Q7" s="31">
        <f t="shared" si="3"/>
        <v>0</v>
      </c>
      <c r="R7" s="31"/>
      <c r="S7" s="28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153273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612">
        <v>2500</v>
      </c>
      <c r="I8" s="26"/>
      <c r="J8" s="26"/>
      <c r="K8" s="27">
        <f t="shared" si="0"/>
        <v>2500</v>
      </c>
      <c r="L8" s="28">
        <f t="shared" si="1"/>
        <v>150773</v>
      </c>
      <c r="M8" s="29"/>
      <c r="N8" s="799"/>
      <c r="O8" s="30">
        <f t="shared" si="2"/>
        <v>1.1765370279733444E-2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150773</v>
      </c>
      <c r="X8" s="32">
        <f t="shared" si="9"/>
        <v>0</v>
      </c>
      <c r="Y8" s="14" t="s">
        <v>47</v>
      </c>
      <c r="Z8" s="54">
        <v>41921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612">
        <v>1223</v>
      </c>
      <c r="I9" s="612">
        <v>977</v>
      </c>
      <c r="J9" s="26"/>
      <c r="K9" s="27">
        <f t="shared" si="0"/>
        <v>2200</v>
      </c>
      <c r="L9" s="28">
        <f t="shared" si="1"/>
        <v>148573</v>
      </c>
      <c r="M9" s="29"/>
      <c r="N9" s="799"/>
      <c r="O9" s="30">
        <f t="shared" si="2"/>
        <v>1.035352584616543E-2</v>
      </c>
      <c r="P9" s="802"/>
      <c r="Q9" s="31">
        <f t="shared" si="3"/>
        <v>0</v>
      </c>
      <c r="R9" s="31"/>
      <c r="S9" s="28">
        <f t="shared" si="4"/>
        <v>1223</v>
      </c>
      <c r="T9" s="28">
        <f t="shared" si="5"/>
        <v>977</v>
      </c>
      <c r="U9" s="28">
        <f t="shared" si="6"/>
        <v>0</v>
      </c>
      <c r="V9" s="28">
        <f t="shared" si="7"/>
        <v>2200</v>
      </c>
      <c r="W9" s="31">
        <f t="shared" si="8"/>
        <v>148573</v>
      </c>
      <c r="X9" s="32">
        <f t="shared" si="9"/>
        <v>0</v>
      </c>
      <c r="Y9" s="14" t="s">
        <v>189</v>
      </c>
      <c r="Z9" s="58">
        <f>492000-AB9</f>
        <v>492000</v>
      </c>
      <c r="AA9" s="59">
        <f>Z9*14.65/14.73</f>
        <v>489327.90224032587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-97663.999999999985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612">
        <v>15000</v>
      </c>
      <c r="I10" s="612">
        <v>5000</v>
      </c>
      <c r="J10" s="26"/>
      <c r="K10" s="27">
        <f t="shared" si="0"/>
        <v>20000</v>
      </c>
      <c r="L10" s="28">
        <f t="shared" si="1"/>
        <v>128573</v>
      </c>
      <c r="M10" s="29"/>
      <c r="N10" s="799"/>
      <c r="O10" s="30">
        <f t="shared" si="2"/>
        <v>9.412296223786755E-2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28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128573</v>
      </c>
      <c r="X10" s="32">
        <f t="shared" si="9"/>
        <v>0</v>
      </c>
      <c r="Y10" s="14" t="s">
        <v>191</v>
      </c>
      <c r="Z10" s="58">
        <f>ROUND((Z9*Z30),0)</f>
        <v>490635</v>
      </c>
      <c r="AA10" s="59">
        <f>Z10*14.65/14.73</f>
        <v>487970.31568228104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-59215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612">
        <v>18000</v>
      </c>
      <c r="I11" s="26"/>
      <c r="J11" s="26"/>
      <c r="K11" s="27">
        <f t="shared" si="0"/>
        <v>18000</v>
      </c>
      <c r="L11" s="28">
        <f t="shared" si="1"/>
        <v>110573</v>
      </c>
      <c r="M11" s="29"/>
      <c r="N11" s="799"/>
      <c r="O11" s="30">
        <f t="shared" si="2"/>
        <v>8.4710666014080796E-2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110573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-38448.999999999985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612">
        <v>3600</v>
      </c>
      <c r="I12" s="26"/>
      <c r="J12" s="26"/>
      <c r="K12" s="27">
        <f t="shared" si="0"/>
        <v>3600</v>
      </c>
      <c r="L12" s="28">
        <f t="shared" si="1"/>
        <v>106973</v>
      </c>
      <c r="M12" s="29"/>
      <c r="N12" s="799"/>
      <c r="O12" s="30">
        <f t="shared" si="2"/>
        <v>1.6942133202816158E-2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106973</v>
      </c>
      <c r="X12" s="32">
        <f t="shared" si="9"/>
        <v>0</v>
      </c>
      <c r="Y12" s="14" t="s">
        <v>64</v>
      </c>
      <c r="Z12" s="58"/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612">
        <v>6000</v>
      </c>
      <c r="I13" s="26"/>
      <c r="J13" s="26"/>
      <c r="K13" s="27">
        <f t="shared" si="0"/>
        <v>6000</v>
      </c>
      <c r="L13" s="28">
        <f t="shared" si="1"/>
        <v>100973</v>
      </c>
      <c r="M13" s="29"/>
      <c r="N13" s="799"/>
      <c r="O13" s="30">
        <f t="shared" si="2"/>
        <v>2.8236888671360264E-2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100973</v>
      </c>
      <c r="X13" s="32">
        <f t="shared" si="9"/>
        <v>0</v>
      </c>
      <c r="Y13" s="14" t="s">
        <v>67</v>
      </c>
      <c r="Z13" s="67">
        <f>Z14/Z30</f>
        <v>491999.76507913216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612">
        <v>8588</v>
      </c>
      <c r="I14" s="26">
        <v>0</v>
      </c>
      <c r="J14" s="26"/>
      <c r="K14" s="27">
        <f t="shared" si="0"/>
        <v>8588</v>
      </c>
      <c r="L14" s="28">
        <f t="shared" si="1"/>
        <v>92385</v>
      </c>
      <c r="M14" s="29"/>
      <c r="N14" s="799"/>
      <c r="O14" s="30">
        <f t="shared" si="2"/>
        <v>4.0416399984940329E-2</v>
      </c>
      <c r="P14" s="802"/>
      <c r="Q14" s="31">
        <f t="shared" si="3"/>
        <v>0</v>
      </c>
      <c r="R14" s="31">
        <v>0</v>
      </c>
      <c r="S14" s="28">
        <f t="shared" si="4"/>
        <v>8588</v>
      </c>
      <c r="T14" s="28">
        <f t="shared" si="5"/>
        <v>0</v>
      </c>
      <c r="U14" s="28">
        <f t="shared" si="6"/>
        <v>0</v>
      </c>
      <c r="V14" s="28">
        <f t="shared" si="7"/>
        <v>8588</v>
      </c>
      <c r="W14" s="31">
        <f t="shared" si="8"/>
        <v>92385</v>
      </c>
      <c r="X14" s="32">
        <f t="shared" si="9"/>
        <v>0</v>
      </c>
      <c r="Y14" s="14" t="s">
        <v>70</v>
      </c>
      <c r="Z14" s="67">
        <f>+Z10-(Z11+Z12)</f>
        <v>490635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612">
        <v>12000</v>
      </c>
      <c r="I15" s="26"/>
      <c r="J15" s="26"/>
      <c r="K15" s="27">
        <f t="shared" si="0"/>
        <v>12000</v>
      </c>
      <c r="L15" s="28">
        <f t="shared" si="1"/>
        <v>80385</v>
      </c>
      <c r="M15" s="29"/>
      <c r="N15" s="799"/>
      <c r="O15" s="30">
        <f t="shared" si="2"/>
        <v>5.6473777342720528E-2</v>
      </c>
      <c r="P15" s="802"/>
      <c r="Q15" s="31">
        <f t="shared" si="3"/>
        <v>0</v>
      </c>
      <c r="R15" s="31">
        <v>0</v>
      </c>
      <c r="S15" s="28">
        <f t="shared" si="4"/>
        <v>12000</v>
      </c>
      <c r="T15" s="28">
        <f t="shared" si="5"/>
        <v>0</v>
      </c>
      <c r="U15" s="28">
        <f t="shared" si="6"/>
        <v>0</v>
      </c>
      <c r="V15" s="28">
        <f t="shared" si="7"/>
        <v>12000</v>
      </c>
      <c r="W15" s="31">
        <f t="shared" si="8"/>
        <v>80385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612">
        <v>20500</v>
      </c>
      <c r="I16" s="26"/>
      <c r="J16" s="26"/>
      <c r="K16" s="27">
        <f t="shared" si="0"/>
        <v>20500</v>
      </c>
      <c r="L16" s="28">
        <f t="shared" si="1"/>
        <v>59885</v>
      </c>
      <c r="M16" s="29"/>
      <c r="N16" s="799"/>
      <c r="O16" s="30">
        <f t="shared" si="2"/>
        <v>9.6476036293814238E-2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59885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612">
        <v>2673</v>
      </c>
      <c r="I17" s="612">
        <v>3000</v>
      </c>
      <c r="J17" s="26"/>
      <c r="K17" s="27">
        <f t="shared" si="0"/>
        <v>5673</v>
      </c>
      <c r="L17" s="28">
        <f t="shared" si="1"/>
        <v>54212</v>
      </c>
      <c r="M17" s="29"/>
      <c r="N17" s="799"/>
      <c r="O17" s="30">
        <f t="shared" si="2"/>
        <v>2.6697978238771132E-2</v>
      </c>
      <c r="P17" s="802"/>
      <c r="Q17" s="31">
        <f t="shared" si="3"/>
        <v>0</v>
      </c>
      <c r="R17" s="31">
        <v>0</v>
      </c>
      <c r="S17" s="28">
        <f t="shared" si="4"/>
        <v>2673</v>
      </c>
      <c r="T17" s="28">
        <f t="shared" si="5"/>
        <v>3000</v>
      </c>
      <c r="U17" s="28">
        <f t="shared" si="6"/>
        <v>0</v>
      </c>
      <c r="V17" s="28">
        <f t="shared" si="7"/>
        <v>5673</v>
      </c>
      <c r="W17" s="31">
        <f t="shared" si="8"/>
        <v>54212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612">
        <v>327</v>
      </c>
      <c r="J18" s="26"/>
      <c r="K18" s="27">
        <f t="shared" si="0"/>
        <v>327</v>
      </c>
      <c r="L18" s="28">
        <f t="shared" si="1"/>
        <v>53885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327</v>
      </c>
      <c r="U18" s="28">
        <f t="shared" si="6"/>
        <v>0</v>
      </c>
      <c r="V18" s="28">
        <f t="shared" si="7"/>
        <v>327</v>
      </c>
      <c r="W18" s="31">
        <f t="shared" si="8"/>
        <v>53885</v>
      </c>
      <c r="X18" s="32"/>
      <c r="Y18" s="14" t="s">
        <v>77</v>
      </c>
      <c r="Z18" s="71">
        <f>ROUND(Z14*0.43,0)</f>
        <v>210973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/>
      <c r="I19" s="26"/>
      <c r="J19" s="26"/>
      <c r="K19" s="27">
        <f t="shared" si="0"/>
        <v>0</v>
      </c>
      <c r="L19" s="28">
        <f t="shared" si="1"/>
        <v>53885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53885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612">
        <v>1500</v>
      </c>
      <c r="I20" s="26">
        <v>0</v>
      </c>
      <c r="J20" s="26"/>
      <c r="K20" s="27">
        <f t="shared" si="0"/>
        <v>1500</v>
      </c>
      <c r="L20" s="28">
        <f t="shared" si="1"/>
        <v>52385</v>
      </c>
      <c r="M20" s="29"/>
      <c r="N20" s="799"/>
      <c r="O20" s="30">
        <f t="shared" si="2"/>
        <v>7.059222167840066E-3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52385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52385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52385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612">
        <v>7500</v>
      </c>
      <c r="I22" s="26">
        <v>0</v>
      </c>
      <c r="J22" s="26"/>
      <c r="K22" s="27">
        <f t="shared" si="0"/>
        <v>7500</v>
      </c>
      <c r="L22" s="28">
        <f t="shared" si="1"/>
        <v>44885</v>
      </c>
      <c r="M22" s="29"/>
      <c r="N22" s="799"/>
      <c r="O22" s="30">
        <f t="shared" si="2"/>
        <v>3.5296110839200333E-2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44885</v>
      </c>
      <c r="X22" s="32">
        <f t="shared" si="9"/>
        <v>0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44885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44885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44885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44885</v>
      </c>
      <c r="X24" s="32">
        <f t="shared" si="9"/>
        <v>0</v>
      </c>
      <c r="Y24" s="74" t="s">
        <v>169</v>
      </c>
      <c r="Z24" s="75">
        <f>+Z18+Z19</f>
        <v>210973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612">
        <v>12000</v>
      </c>
      <c r="I25" s="26"/>
      <c r="J25" s="26"/>
      <c r="K25" s="27">
        <f t="shared" si="0"/>
        <v>12000</v>
      </c>
      <c r="L25" s="28">
        <f t="shared" si="1"/>
        <v>32885</v>
      </c>
      <c r="M25" s="29"/>
      <c r="N25" s="799"/>
      <c r="O25" s="30">
        <f t="shared" si="2"/>
        <v>5.6473777342720528E-2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88" si="11">+W24-V25</f>
        <v>32885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13">
        <v>34400</v>
      </c>
      <c r="K26" s="442">
        <f t="shared" si="0"/>
        <v>34400</v>
      </c>
      <c r="L26" s="28">
        <f t="shared" si="1"/>
        <v>-1515</v>
      </c>
      <c r="M26" s="86"/>
      <c r="N26" s="800"/>
      <c r="O26" s="87">
        <f t="shared" si="2"/>
        <v>0.16189149504913219</v>
      </c>
      <c r="P26" s="803"/>
      <c r="Q26" s="144">
        <f t="shared" si="3"/>
        <v>0</v>
      </c>
      <c r="R26" s="144">
        <v>-20515</v>
      </c>
      <c r="S26" s="423">
        <f t="shared" si="4"/>
        <v>0</v>
      </c>
      <c r="T26" s="423">
        <f t="shared" si="5"/>
        <v>0</v>
      </c>
      <c r="U26" s="423">
        <f t="shared" si="6"/>
        <v>13885</v>
      </c>
      <c r="V26" s="423">
        <f t="shared" si="7"/>
        <v>13885</v>
      </c>
      <c r="W26" s="31">
        <f t="shared" si="11"/>
        <v>19000</v>
      </c>
      <c r="X26" s="32">
        <f t="shared" si="9"/>
        <v>20515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-1515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1"/>
        <v>19000</v>
      </c>
      <c r="X27" s="32">
        <f t="shared" si="9"/>
        <v>20515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-1515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19000</v>
      </c>
      <c r="X28" s="32">
        <f t="shared" si="9"/>
        <v>20515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46315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-1515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19000</v>
      </c>
      <c r="X29" s="32">
        <f t="shared" si="9"/>
        <v>20515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-1515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19000</v>
      </c>
      <c r="X30" s="32">
        <f t="shared" si="9"/>
        <v>20515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-1515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19000</v>
      </c>
      <c r="X31" s="32">
        <f t="shared" si="9"/>
        <v>20515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-1515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19000</v>
      </c>
      <c r="X32" s="32">
        <f t="shared" si="9"/>
        <v>20515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-1515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19000</v>
      </c>
      <c r="X33" s="32">
        <f t="shared" si="9"/>
        <v>20515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-1515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19000</v>
      </c>
      <c r="X34" s="32">
        <f t="shared" si="9"/>
        <v>20515</v>
      </c>
      <c r="Y34" s="806"/>
      <c r="Z34" s="112">
        <v>100000</v>
      </c>
      <c r="AA34" s="113">
        <f>AD5-Z34</f>
        <v>-27664</v>
      </c>
      <c r="AB34" s="113">
        <f>Z34+AA34</f>
        <v>72336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-1515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19000</v>
      </c>
      <c r="X35" s="32">
        <f>W35-L35</f>
        <v>20515</v>
      </c>
      <c r="Y35" s="117" t="s">
        <v>56</v>
      </c>
      <c r="Z35" s="113">
        <f>Z34*43%</f>
        <v>43000</v>
      </c>
      <c r="AA35" s="113">
        <f>AD4-Z35</f>
        <v>-29115</v>
      </c>
      <c r="AB35" s="113">
        <f>Z35+AA35</f>
        <v>13885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-1515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19000</v>
      </c>
      <c r="X36" s="32">
        <f t="shared" si="9"/>
        <v>20515</v>
      </c>
      <c r="Y36" s="117" t="s">
        <v>60</v>
      </c>
      <c r="Z36" s="113">
        <f>Z34*57%</f>
        <v>56999.999999999993</v>
      </c>
      <c r="AA36" s="113">
        <f>AD3-Z36</f>
        <v>1451.0000000000073</v>
      </c>
      <c r="AB36" s="113">
        <f>Z36+AA36</f>
        <v>58451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-1515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19000</v>
      </c>
      <c r="X37" s="32">
        <f t="shared" si="9"/>
        <v>20515</v>
      </c>
      <c r="Y37" s="117" t="s">
        <v>94</v>
      </c>
      <c r="Z37" s="113">
        <f>+Z35+Z36</f>
        <v>100000</v>
      </c>
      <c r="AA37" s="113">
        <f>SUM(AA35:AA36)</f>
        <v>-27663.999999999993</v>
      </c>
      <c r="AB37" s="113">
        <f>Z37+AA37</f>
        <v>72336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>
        <v>0</v>
      </c>
      <c r="I38" s="26"/>
      <c r="J38" s="26"/>
      <c r="K38" s="27">
        <f t="shared" si="0"/>
        <v>0</v>
      </c>
      <c r="L38" s="28">
        <f>+L37-K38</f>
        <v>-1515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19000</v>
      </c>
      <c r="X38" s="32">
        <f t="shared" si="9"/>
        <v>20515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-1515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19000</v>
      </c>
      <c r="X39" s="32">
        <f t="shared" si="9"/>
        <v>20515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-1515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19000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-1515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19000</v>
      </c>
      <c r="X41" s="32">
        <f t="shared" si="9"/>
        <v>20515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-1515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19000</v>
      </c>
      <c r="X42" s="32">
        <f t="shared" si="9"/>
        <v>20515</v>
      </c>
      <c r="Y42" s="74" t="s">
        <v>96</v>
      </c>
      <c r="Z42" s="75">
        <v>35500</v>
      </c>
      <c r="AA42" s="129">
        <f>+H7+H8+H17+H18+H19+H22+H32+H33+H43+H44+H45+H53</f>
        <v>28839</v>
      </c>
      <c r="AB42" s="129">
        <f>+I7+I8+I17+I18+I19+I22+I32+I33+I43+I44+I45+I53</f>
        <v>7161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-1515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19000</v>
      </c>
      <c r="X43" s="32">
        <f t="shared" si="9"/>
        <v>20515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-1515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19000</v>
      </c>
      <c r="X44" s="32">
        <f t="shared" si="9"/>
        <v>20515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-1515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19000</v>
      </c>
      <c r="X45" s="32">
        <f t="shared" si="9"/>
        <v>20515</v>
      </c>
      <c r="Y45" s="131" t="s">
        <v>98</v>
      </c>
      <c r="Z45" s="132">
        <v>9600</v>
      </c>
      <c r="AA45" s="133">
        <f>+H12+H13+H37+H38</f>
        <v>9600</v>
      </c>
      <c r="AB45" s="133">
        <f>+I12+I13+I37+I38</f>
        <v>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612">
        <v>10000</v>
      </c>
      <c r="I46" s="26"/>
      <c r="J46" s="26"/>
      <c r="K46" s="27">
        <f t="shared" si="0"/>
        <v>10000</v>
      </c>
      <c r="L46" s="28">
        <f>+L45-K46</f>
        <v>-11515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11"/>
        <v>9000</v>
      </c>
      <c r="X46" s="32">
        <f t="shared" si="9"/>
        <v>20515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-11515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9000</v>
      </c>
      <c r="X47" s="32">
        <f t="shared" si="9"/>
        <v>20515</v>
      </c>
      <c r="Y47" s="57">
        <v>20000</v>
      </c>
      <c r="Z47" s="89">
        <v>4586</v>
      </c>
      <c r="AA47" s="35"/>
      <c r="AB47" s="57">
        <f>57000-AA60</f>
        <v>-1451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-11515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9000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-11515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9000</v>
      </c>
      <c r="X49" s="32">
        <f t="shared" si="9"/>
        <v>20515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-11515</v>
      </c>
      <c r="M50" s="95"/>
      <c r="N50" s="804">
        <f>SUM(K50:K55)</f>
        <v>9000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9000</v>
      </c>
      <c r="X50" s="32">
        <f t="shared" si="9"/>
        <v>20515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26"/>
      <c r="J51" s="611"/>
      <c r="K51" s="27">
        <f t="shared" si="0"/>
        <v>0</v>
      </c>
      <c r="L51" s="28">
        <f t="shared" si="1"/>
        <v>-11515</v>
      </c>
      <c r="M51" s="234"/>
      <c r="N51" s="799"/>
      <c r="O51" s="184"/>
      <c r="P51" s="802"/>
      <c r="Q51" s="31"/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11"/>
        <v>9000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-11515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9000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612">
        <v>2000</v>
      </c>
      <c r="I53" s="26"/>
      <c r="J53" s="26"/>
      <c r="K53" s="27">
        <f t="shared" si="0"/>
        <v>2000</v>
      </c>
      <c r="L53" s="28">
        <f>+L52-K53</f>
        <v>-13515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/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11"/>
        <v>7000</v>
      </c>
      <c r="X53" s="32">
        <f t="shared" si="9"/>
        <v>20515</v>
      </c>
      <c r="Y53" s="80">
        <f>+Y52-15000</f>
        <v>-2513.5</v>
      </c>
      <c r="Z53" s="49">
        <f>+Z60-43000</f>
        <v>-29115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-13515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7000</v>
      </c>
      <c r="X54" s="32">
        <f t="shared" si="9"/>
        <v>20515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612">
        <v>7000</v>
      </c>
      <c r="J55" s="143"/>
      <c r="K55" s="27">
        <f t="shared" si="0"/>
        <v>7000</v>
      </c>
      <c r="L55" s="423">
        <f t="shared" si="1"/>
        <v>-20515</v>
      </c>
      <c r="M55" s="86"/>
      <c r="N55" s="800"/>
      <c r="O55" s="87">
        <f t="shared" si="12"/>
        <v>0.7</v>
      </c>
      <c r="P55" s="803"/>
      <c r="Q55" s="97">
        <f t="shared" si="13"/>
        <v>0</v>
      </c>
      <c r="R55" s="31"/>
      <c r="S55" s="423">
        <f t="shared" si="4"/>
        <v>0</v>
      </c>
      <c r="T55" s="28">
        <f>IF(I55&lt;&gt;0,+I55+Q55+R55,0)</f>
        <v>7000</v>
      </c>
      <c r="U55" s="423">
        <f t="shared" si="6"/>
        <v>0</v>
      </c>
      <c r="V55" s="423">
        <f>+S55+T55+U55</f>
        <v>7000</v>
      </c>
      <c r="W55" s="31">
        <f t="shared" si="11"/>
        <v>0</v>
      </c>
      <c r="X55" s="119">
        <f t="shared" si="9"/>
        <v>20515</v>
      </c>
      <c r="Y55" s="807">
        <f>Z8</f>
        <v>41921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-20515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0</v>
      </c>
      <c r="X56" s="119">
        <f t="shared" si="9"/>
        <v>20515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-20515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-20515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0</v>
      </c>
      <c r="X58" s="408"/>
      <c r="Y58" s="180" t="s">
        <v>7</v>
      </c>
      <c r="Z58" s="181">
        <f>+AB4</f>
        <v>44838</v>
      </c>
      <c r="AA58" s="182">
        <f>+AB3</f>
        <v>40114</v>
      </c>
      <c r="AB58" s="182">
        <f>Z12</f>
        <v>0</v>
      </c>
      <c r="AC58" s="181">
        <f>AB10</f>
        <v>0</v>
      </c>
      <c r="AD58" s="183">
        <f>SUM(Z58:AC58)</f>
        <v>84952</v>
      </c>
      <c r="AE58" s="185"/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-20515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0</v>
      </c>
      <c r="X59" s="408"/>
      <c r="Y59" s="180" t="s">
        <v>17</v>
      </c>
      <c r="Z59" s="182">
        <f>+AC4</f>
        <v>152250</v>
      </c>
      <c r="AA59" s="182">
        <f>AC3</f>
        <v>181033</v>
      </c>
      <c r="AB59" s="182">
        <f>Z11</f>
        <v>0</v>
      </c>
      <c r="AC59" s="181">
        <v>0</v>
      </c>
      <c r="AD59" s="183">
        <f>SUM(Z59:AC59)</f>
        <v>333283</v>
      </c>
      <c r="AE59" s="185"/>
      <c r="AF59" s="51"/>
      <c r="AG59" s="51"/>
      <c r="AH59" s="51"/>
      <c r="AI59" s="51"/>
      <c r="AJ59" s="50"/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-20515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0</v>
      </c>
      <c r="X60" s="408"/>
      <c r="Y60" s="180" t="s">
        <v>112</v>
      </c>
      <c r="Z60" s="181">
        <f>+AD4+AH11</f>
        <v>13885</v>
      </c>
      <c r="AA60" s="182">
        <f>+AD3+AH10</f>
        <v>58451</v>
      </c>
      <c r="AB60" s="191">
        <v>0</v>
      </c>
      <c r="AC60" s="181">
        <v>0</v>
      </c>
      <c r="AD60" s="183">
        <f>SUM(Z60:AC60)</f>
        <v>72336</v>
      </c>
      <c r="AE60" s="185"/>
      <c r="AF60" s="53">
        <f>AA60-45600</f>
        <v>12851</v>
      </c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-20515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0</v>
      </c>
      <c r="X61" s="408"/>
      <c r="Y61" s="193" t="s">
        <v>113</v>
      </c>
      <c r="Z61" s="194">
        <f>SUM(Z58:Z60)</f>
        <v>210973</v>
      </c>
      <c r="AA61" s="194">
        <f>SUM(AA58:AA60)</f>
        <v>279598</v>
      </c>
      <c r="AB61" s="194">
        <f>SUM(AB58:AB60)</f>
        <v>0</v>
      </c>
      <c r="AC61" s="194">
        <f>AB10</f>
        <v>0</v>
      </c>
      <c r="AD61" s="195">
        <f>SUM(AD58:AD60)</f>
        <v>490571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-20515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0</v>
      </c>
      <c r="X62" s="408"/>
      <c r="Y62" s="199" t="s">
        <v>114</v>
      </c>
      <c r="Z62" s="200">
        <f>(Z58/$Z$28+(Z59/$Z$27)+(Z60/$Z$29))</f>
        <v>211556.35693907377</v>
      </c>
      <c r="AA62" s="200">
        <f>(AA58/$Z$28+(AA59/$Z$27)+(AA60/$Z$29))</f>
        <v>280381.61398955475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491937.97092862852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-20515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0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-20515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0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-20515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0</v>
      </c>
      <c r="X65" s="408"/>
      <c r="Y65" s="371" t="s">
        <v>115</v>
      </c>
      <c r="Z65" s="484"/>
      <c r="AA65" s="203">
        <v>116795.64989594919</v>
      </c>
      <c r="AB65" s="204"/>
      <c r="AC65" s="204"/>
      <c r="AD65" s="205"/>
      <c r="AE65" s="32">
        <v>108797.23749999999</v>
      </c>
      <c r="AF65" s="53">
        <f>+AA65-AE65</f>
        <v>7998.412395949199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-20515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0</v>
      </c>
      <c r="X66" s="408"/>
      <c r="Y66" s="814" t="s">
        <v>116</v>
      </c>
      <c r="Z66" s="815"/>
      <c r="AA66" s="203">
        <v>33046.383150000001</v>
      </c>
      <c r="AB66" s="208"/>
      <c r="AC66" s="208"/>
      <c r="AD66" s="209"/>
      <c r="AE66" s="13">
        <v>52014.378240000005</v>
      </c>
      <c r="AF66" s="53">
        <f>+AA66-AE66</f>
        <v>-18967.995090000004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-20515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-20515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0</v>
      </c>
      <c r="X68" s="211"/>
      <c r="Y68" s="814" t="s">
        <v>188</v>
      </c>
      <c r="Z68" s="815"/>
      <c r="AA68" s="207">
        <f>Z9*Z30+AC61</f>
        <v>490635.23426921753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-20515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-20515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0</v>
      </c>
      <c r="X70" s="211"/>
      <c r="Y70" s="213"/>
      <c r="Z70" s="232">
        <f>+Z61-2200</f>
        <v>208773</v>
      </c>
      <c r="AA70" s="213"/>
      <c r="AB70" s="213"/>
      <c r="AC70" s="213"/>
      <c r="AD70" s="233">
        <v>491197</v>
      </c>
      <c r="AE70" s="233">
        <f>+AD70-(Z61+AA61)</f>
        <v>626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-20515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-20515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0</v>
      </c>
      <c r="X72" s="211"/>
      <c r="Y72" s="214" t="s">
        <v>47</v>
      </c>
      <c r="Z72" s="215">
        <f>Z8</f>
        <v>41921</v>
      </c>
      <c r="AA72" s="818" t="s">
        <v>118</v>
      </c>
      <c r="AB72" s="818"/>
      <c r="AC72" s="818"/>
      <c r="AD72" s="216">
        <v>0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24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-20515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0</v>
      </c>
      <c r="X73" s="211"/>
      <c r="Y73" s="214" t="s">
        <v>119</v>
      </c>
      <c r="Z73" s="480">
        <f>AD72</f>
        <v>0</v>
      </c>
      <c r="AA73" s="609" t="s">
        <v>120</v>
      </c>
      <c r="AB73" s="609"/>
      <c r="AC73" s="609"/>
      <c r="AD73" s="219">
        <f>24-AD72</f>
        <v>24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21500</v>
      </c>
      <c r="AO73" s="373">
        <f>AN73*AM72/24</f>
        <v>21500</v>
      </c>
      <c r="AP73" s="19">
        <f>21500*AD72/24</f>
        <v>0</v>
      </c>
      <c r="AQ73" s="19">
        <f>21500-AP73</f>
        <v>21500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-20515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608" t="s">
        <v>127</v>
      </c>
      <c r="AK74" s="819"/>
      <c r="AL74" s="819"/>
      <c r="AM74" s="20" t="s">
        <v>232</v>
      </c>
      <c r="AN74" s="19">
        <f>Z79-AN73</f>
        <v>-21500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-20515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0</v>
      </c>
      <c r="X75" s="211"/>
      <c r="Y75" s="608" t="s">
        <v>121</v>
      </c>
      <c r="Z75" s="608" t="s">
        <v>122</v>
      </c>
      <c r="AA75" s="608" t="s">
        <v>123</v>
      </c>
      <c r="AB75" s="820" t="s">
        <v>124</v>
      </c>
      <c r="AC75" s="821"/>
      <c r="AD75" s="822"/>
      <c r="AE75" s="608" t="s">
        <v>125</v>
      </c>
      <c r="AF75" s="608" t="s">
        <v>126</v>
      </c>
      <c r="AG75" s="149"/>
      <c r="AH75" s="608" t="s">
        <v>121</v>
      </c>
      <c r="AI75" s="608"/>
      <c r="AJ75" s="214" t="s">
        <v>7</v>
      </c>
      <c r="AK75" s="236">
        <f>((+AD78-AA78)/$AD$73)*24</f>
        <v>84952</v>
      </c>
      <c r="AL75" s="236">
        <f>AK75</f>
        <v>84952</v>
      </c>
      <c r="AM75" s="20" t="s">
        <v>7</v>
      </c>
      <c r="AN75" s="19">
        <f>AD58</f>
        <v>84952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-20515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0</v>
      </c>
      <c r="X76" s="211"/>
      <c r="Y76" s="608"/>
      <c r="Z76" s="608"/>
      <c r="AA76" s="608"/>
      <c r="AB76" s="608"/>
      <c r="AC76" s="608"/>
      <c r="AD76" s="608"/>
      <c r="AE76" s="608"/>
      <c r="AF76" s="608"/>
      <c r="AG76" s="149"/>
      <c r="AH76" s="608"/>
      <c r="AI76" s="608"/>
      <c r="AJ76" s="214" t="s">
        <v>6</v>
      </c>
      <c r="AK76" s="236">
        <f>((+AD79-AA79)/$AD$73)*24</f>
        <v>333283</v>
      </c>
      <c r="AL76" s="236">
        <f>+AK76</f>
        <v>333283</v>
      </c>
      <c r="AM76" s="464"/>
      <c r="AN76" s="19">
        <f>SUM(AN73:AN75)</f>
        <v>84952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-20515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0</v>
      </c>
      <c r="X77" s="211"/>
      <c r="Y77" s="608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608"/>
      <c r="AI77" s="78"/>
      <c r="AJ77" s="214" t="s">
        <v>8</v>
      </c>
      <c r="AK77" s="236">
        <f>((+AD80-AA80)/$AD$73)*24</f>
        <v>72336</v>
      </c>
      <c r="AL77" s="236">
        <f>AK77</f>
        <v>72336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-20515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0</v>
      </c>
      <c r="X78" s="211"/>
      <c r="Y78" s="214" t="s">
        <v>7</v>
      </c>
      <c r="Z78" s="224"/>
      <c r="AA78" s="225">
        <v>0</v>
      </c>
      <c r="AB78" s="226">
        <f t="shared" ref="AB78:AC80" si="22">+Z58</f>
        <v>44838</v>
      </c>
      <c r="AC78" s="226">
        <f t="shared" si="22"/>
        <v>40114</v>
      </c>
      <c r="AD78" s="226">
        <f>+AB78+AC78+AB58+AC58</f>
        <v>84952</v>
      </c>
      <c r="AE78" s="519">
        <f>+((AD58/24)*$AD$73)+AA78</f>
        <v>84952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490571</v>
      </c>
      <c r="AL78" s="231">
        <f>+SUM(AL75:AL77)</f>
        <v>490571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-20515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0</v>
      </c>
      <c r="X79" s="211"/>
      <c r="Y79" s="214" t="s">
        <v>6</v>
      </c>
      <c r="Z79" s="224"/>
      <c r="AA79" s="225">
        <f>0+0</f>
        <v>0</v>
      </c>
      <c r="AB79" s="226">
        <f t="shared" si="22"/>
        <v>152250</v>
      </c>
      <c r="AC79" s="226">
        <f t="shared" si="22"/>
        <v>181033</v>
      </c>
      <c r="AD79" s="226">
        <f>+AB79+AC79+AB59</f>
        <v>333283</v>
      </c>
      <c r="AE79" s="519">
        <f>+((AD59/24)*$AD$73)+AA79</f>
        <v>333283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v>536741</v>
      </c>
      <c r="AL79" s="481">
        <f>AK79-AK78</f>
        <v>46170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-20515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0</v>
      </c>
      <c r="X80" s="211"/>
      <c r="Y80" s="214" t="s">
        <v>8</v>
      </c>
      <c r="Z80" s="224"/>
      <c r="AA80" s="225">
        <v>0</v>
      </c>
      <c r="AB80" s="226">
        <f t="shared" si="22"/>
        <v>13885</v>
      </c>
      <c r="AC80" s="226">
        <f t="shared" si="22"/>
        <v>58451</v>
      </c>
      <c r="AD80" s="226">
        <f>+AB80+AC80</f>
        <v>72336</v>
      </c>
      <c r="AE80" s="519">
        <f>+((AD60/24)*$AD$73)+AA80</f>
        <v>72336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-20515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0</v>
      </c>
      <c r="X81" s="211"/>
      <c r="Y81" s="228" t="s">
        <v>130</v>
      </c>
      <c r="Z81" s="229">
        <f t="shared" ref="Z81:AE81" si="23">SUM(Z78:Z80)</f>
        <v>0</v>
      </c>
      <c r="AA81" s="230">
        <f t="shared" si="23"/>
        <v>0</v>
      </c>
      <c r="AB81" s="229">
        <f t="shared" si="23"/>
        <v>210973</v>
      </c>
      <c r="AC81" s="229">
        <f t="shared" si="23"/>
        <v>279598</v>
      </c>
      <c r="AD81" s="229">
        <f t="shared" si="23"/>
        <v>490571</v>
      </c>
      <c r="AE81" s="229">
        <f t="shared" si="23"/>
        <v>490571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-20515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-20515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0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-20515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-20515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-20515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-20515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-20515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-20515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0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-20515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-20515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-20515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0</v>
      </c>
      <c r="Y92" s="882" t="s">
        <v>158</v>
      </c>
      <c r="Z92" s="586" t="s">
        <v>283</v>
      </c>
      <c r="AA92" s="587">
        <f>SUMIF($D$2:$D$57,"domiciliario",$I$2:$I$103)</f>
        <v>29511</v>
      </c>
      <c r="AB92" s="626">
        <f>SUMIF($D$2:$D$57,"domiciliario",$T$2:$T$103)</f>
        <v>29511</v>
      </c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-20515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0</v>
      </c>
      <c r="Y93" s="883"/>
      <c r="Z93" s="588" t="s">
        <v>284</v>
      </c>
      <c r="AA93" s="589">
        <f>SUMIF($D$2:$D$57,"industrial",$I$2:$I$103)</f>
        <v>0</v>
      </c>
      <c r="AB93" s="627">
        <f>SUMIF($D$2:$D$57,"industrial",$T$2:$T$103)</f>
        <v>0</v>
      </c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-20515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0</v>
      </c>
      <c r="Y94" s="883"/>
      <c r="Z94" s="588" t="s">
        <v>80</v>
      </c>
      <c r="AA94" s="589">
        <f>SUMIF($D$2:$D$57,"gnv",$I$2:$I$103)</f>
        <v>327</v>
      </c>
      <c r="AB94" s="627">
        <f>SUMIF($D$2:$D$57,"gnv",$T$2:$T$103)</f>
        <v>327</v>
      </c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-20515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0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15000</v>
      </c>
      <c r="AB95" s="627">
        <f>SUMIF($D$2:$D$57,"termico",$T$2:$T$103)+SUMIF($D$2:$D$57,"electrico",$T$2:$T$103)+SUMIF($D$2:$D$57,"térmico",$T$2:$T$103)</f>
        <v>15000</v>
      </c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-20515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0</v>
      </c>
      <c r="Y96" s="884"/>
      <c r="Z96" s="590" t="s">
        <v>286</v>
      </c>
      <c r="AA96" s="591"/>
      <c r="AB96" s="628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-20515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0</v>
      </c>
      <c r="Y97" s="825" t="s">
        <v>154</v>
      </c>
      <c r="Z97" s="489" t="s">
        <v>283</v>
      </c>
      <c r="AA97" s="490">
        <f>SUMIF($D$2:$D$57,"domiciliario",$H$2:$H$103)</f>
        <v>32889</v>
      </c>
      <c r="AB97" s="629">
        <f>SUMIF($D$2:$D$57,"domiciliario",$S$2:$S$103)</f>
        <v>32889</v>
      </c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-20515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0</v>
      </c>
      <c r="Y98" s="826"/>
      <c r="Z98" s="492" t="s">
        <v>284</v>
      </c>
      <c r="AA98" s="493">
        <f>SUMIF($D$2:$D$57,"industrial",$H$2:$H$103)</f>
        <v>34000</v>
      </c>
      <c r="AB98" s="630">
        <f>SUMIF($D$2:$D$57,"industrial",$S$2:$S$103)</f>
        <v>34000</v>
      </c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-20515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0</v>
      </c>
      <c r="Y99" s="826"/>
      <c r="Z99" s="492" t="s">
        <v>80</v>
      </c>
      <c r="AA99" s="493">
        <f>SUMIF($D$2:$D$57,"gnv",$H$2:$H$103)</f>
        <v>0</v>
      </c>
      <c r="AB99" s="630">
        <f>SUMIF($D$2:$D$57,"gnv",$S$2:$S$103)</f>
        <v>0</v>
      </c>
      <c r="AC99" s="345"/>
      <c r="AD99" s="35"/>
      <c r="AE99" s="35"/>
      <c r="AF99" s="353"/>
      <c r="AG99" s="35"/>
      <c r="AH99" s="35"/>
    </row>
    <row r="100" spans="1:40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-20515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0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85361</v>
      </c>
      <c r="AB100" s="630">
        <f>SUMIF($D$2:$D$57,"termico",$S$2:$S$103)+SUMIF($D$2:$D$57,"electrico",$S$2:$S$103)+SUMIF($D$2:$D$57,"térmico",$S$2:$S$103)</f>
        <v>85361</v>
      </c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-20515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0</v>
      </c>
      <c r="Y101" s="827"/>
      <c r="Z101" s="592" t="s">
        <v>312</v>
      </c>
      <c r="AA101" s="500"/>
      <c r="AB101" s="63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-20515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0</v>
      </c>
      <c r="Y102" s="622" t="s">
        <v>289</v>
      </c>
      <c r="Z102" s="623" t="s">
        <v>289</v>
      </c>
      <c r="AA102" s="624">
        <f>SUMIF($D$2:$D$57,"EXPORTACION",$J$2:$J$103)</f>
        <v>34400</v>
      </c>
      <c r="AB102" s="632">
        <f>SUMIF($D$2:$D$57,"EXPORTACION",$U$2:$U$103)</f>
        <v>13885</v>
      </c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-20515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thickBot="1" x14ac:dyDescent="0.35">
      <c r="C105" s="248"/>
      <c r="E105" s="249"/>
      <c r="F105" s="250"/>
      <c r="G105" s="251" t="s">
        <v>139</v>
      </c>
      <c r="H105" s="252">
        <f>+SUM(H2:H103)</f>
        <v>152250</v>
      </c>
      <c r="I105" s="252">
        <f>+SUM(I2:I103)</f>
        <v>44838</v>
      </c>
      <c r="J105" s="252">
        <f>+SUM(J2:J103)</f>
        <v>34400</v>
      </c>
      <c r="K105" s="252">
        <f>SUM(K2:K103)</f>
        <v>231488</v>
      </c>
      <c r="L105" s="253">
        <f>+L103</f>
        <v>-20515</v>
      </c>
      <c r="M105" s="252">
        <f>SUM(M2:M103)</f>
        <v>0</v>
      </c>
      <c r="N105" s="252">
        <f>SUM(N2:N103)</f>
        <v>231488</v>
      </c>
      <c r="O105" s="252"/>
      <c r="P105" s="252">
        <f>SUM(P2:P103)</f>
        <v>0</v>
      </c>
      <c r="Q105" s="252">
        <f>SUM(Q2:Q103)</f>
        <v>0</v>
      </c>
      <c r="R105" s="252">
        <f>SUM(R2:R103)</f>
        <v>-20515</v>
      </c>
      <c r="S105" s="252">
        <f>SUM(S2:S103)</f>
        <v>152250</v>
      </c>
      <c r="T105" s="252">
        <f>+SUM(T2:T103)</f>
        <v>44838</v>
      </c>
      <c r="U105" s="252">
        <f>SUM(U2:U103)</f>
        <v>13885</v>
      </c>
      <c r="V105" s="252">
        <f>SUM(V2:V103)</f>
        <v>210973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</row>
    <row r="112" spans="1:40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</row>
    <row r="113" spans="1:40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J120" s="109" t="s">
        <v>155</v>
      </c>
      <c r="AK120" s="236">
        <v>169523</v>
      </c>
    </row>
    <row r="121" spans="1:40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/>
      <c r="V121" s="196"/>
      <c r="AJ121" s="354" t="s">
        <v>135</v>
      </c>
      <c r="AK121" s="355">
        <v>173236</v>
      </c>
    </row>
    <row r="122" spans="1:40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/>
      <c r="V122" s="196"/>
      <c r="AJ122" s="109"/>
      <c r="AK122" s="236"/>
    </row>
    <row r="123" spans="1:40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/>
      <c r="V123" s="196"/>
      <c r="AJ123" s="354"/>
      <c r="AK123" s="355"/>
    </row>
    <row r="124" spans="1:40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</row>
    <row r="125" spans="1:40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</row>
    <row r="126" spans="1:40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</row>
    <row r="127" spans="1:40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</row>
    <row r="128" spans="1:40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</row>
    <row r="129" spans="1:26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</row>
    <row r="130" spans="1:26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</row>
    <row r="131" spans="1:26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</row>
    <row r="132" spans="1:26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</row>
    <row r="133" spans="1:26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</row>
    <row r="134" spans="1:26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26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26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26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26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26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26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26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26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26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26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196"/>
      <c r="T156" s="19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44" priority="3" operator="lessThan">
      <formula>$AA$78</formula>
    </cfRule>
    <cfRule type="cellIs" dxfId="143" priority="5" operator="greaterThan">
      <formula>$AE$78</formula>
    </cfRule>
  </conditionalFormatting>
  <conditionalFormatting sqref="AA79">
    <cfRule type="cellIs" dxfId="142" priority="4" operator="greaterThan">
      <formula>$AE$79</formula>
    </cfRule>
  </conditionalFormatting>
  <conditionalFormatting sqref="AA80">
    <cfRule type="cellIs" dxfId="141" priority="2" operator="greaterThan">
      <formula>$AE$79</formula>
    </cfRule>
  </conditionalFormatting>
  <conditionalFormatting sqref="AU4:AU23">
    <cfRule type="cellIs" dxfId="140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002060"/>
  </sheetPr>
  <dimension ref="A1:AU186"/>
  <sheetViews>
    <sheetView topLeftCell="T1" zoomScale="90" zoomScaleNormal="90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612">
        <v>3000</v>
      </c>
      <c r="I2" s="26">
        <v>0</v>
      </c>
      <c r="J2" s="26"/>
      <c r="K2" s="27">
        <f>SUM(H2:J2)</f>
        <v>3000</v>
      </c>
      <c r="L2" s="28">
        <f>AA4-K2</f>
        <v>207973</v>
      </c>
      <c r="M2" s="29"/>
      <c r="N2" s="798">
        <f>SUM(K2:K26)</f>
        <v>212488</v>
      </c>
      <c r="O2" s="30">
        <f>+K2/$N$2</f>
        <v>1.4118444335680132E-2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207973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635" t="s">
        <v>31</v>
      </c>
      <c r="AE2" s="635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612">
        <v>1100</v>
      </c>
      <c r="J3" s="26"/>
      <c r="K3" s="27">
        <f t="shared" ref="K3:K73" si="0">SUM(H3:J3)</f>
        <v>1100</v>
      </c>
      <c r="L3" s="28">
        <f t="shared" ref="L3:L66" si="1">+L2-K3</f>
        <v>206873</v>
      </c>
      <c r="M3" s="29"/>
      <c r="N3" s="799"/>
      <c r="O3" s="30">
        <f t="shared" ref="O3:O29" si="2">+K3/$N$2</f>
        <v>5.176762923082715E-3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603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206873</v>
      </c>
      <c r="X3" s="32">
        <f t="shared" ref="X3:X56" si="9">W3-L3</f>
        <v>0</v>
      </c>
      <c r="Y3" s="37" t="s">
        <v>34</v>
      </c>
      <c r="Z3" s="38">
        <f>ROUND((Z13*57%),0)</f>
        <v>280440</v>
      </c>
      <c r="AA3" s="39">
        <f>ROUND((+Z14*0.57),0)</f>
        <v>279662</v>
      </c>
      <c r="AB3" s="454">
        <v>40114</v>
      </c>
      <c r="AC3" s="455">
        <v>181033</v>
      </c>
      <c r="AD3" s="40">
        <v>58451</v>
      </c>
      <c r="AE3" s="41">
        <f>SUM(AB3:AD3)</f>
        <v>279598</v>
      </c>
      <c r="AF3" s="41">
        <f>AA3-AE3</f>
        <v>64</v>
      </c>
      <c r="AG3" s="42">
        <f>AA3-AB3-AC3-AD3</f>
        <v>64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612">
        <v>22400</v>
      </c>
      <c r="J4" s="26"/>
      <c r="K4" s="27">
        <f t="shared" si="0"/>
        <v>22400</v>
      </c>
      <c r="L4" s="28">
        <f t="shared" si="1"/>
        <v>184473</v>
      </c>
      <c r="M4" s="29"/>
      <c r="N4" s="799"/>
      <c r="O4" s="30">
        <f t="shared" si="2"/>
        <v>0.10541771770641166</v>
      </c>
      <c r="P4" s="802"/>
      <c r="Q4" s="31">
        <f t="shared" si="3"/>
        <v>0</v>
      </c>
      <c r="R4" s="31"/>
      <c r="S4" s="28">
        <f t="shared" si="4"/>
        <v>0</v>
      </c>
      <c r="T4" s="603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184473</v>
      </c>
      <c r="X4" s="32">
        <f t="shared" si="9"/>
        <v>0</v>
      </c>
      <c r="Y4" s="37" t="s">
        <v>38</v>
      </c>
      <c r="Z4" s="38">
        <f>ROUND((Z13*43%),0)</f>
        <v>211560</v>
      </c>
      <c r="AA4" s="39">
        <f>ROUND((+Z14*0.43),0)</f>
        <v>210973</v>
      </c>
      <c r="AB4" s="43">
        <f>T105</f>
        <v>50838</v>
      </c>
      <c r="AC4" s="43">
        <f>S105</f>
        <v>146250</v>
      </c>
      <c r="AD4" s="40">
        <f>U105</f>
        <v>13885</v>
      </c>
      <c r="AE4" s="41">
        <f>SUM(AB4:AD4)</f>
        <v>210973</v>
      </c>
      <c r="AF4" s="41">
        <f>AA4-AE4</f>
        <v>0</v>
      </c>
      <c r="AG4" s="42">
        <f>AA4-AB4-AC4-AD4</f>
        <v>0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612">
        <v>1200</v>
      </c>
      <c r="J5" s="26"/>
      <c r="K5" s="27">
        <f t="shared" si="0"/>
        <v>1200</v>
      </c>
      <c r="L5" s="28">
        <f t="shared" si="1"/>
        <v>183273</v>
      </c>
      <c r="M5" s="29"/>
      <c r="N5" s="799"/>
      <c r="O5" s="30">
        <f t="shared" si="2"/>
        <v>5.6473777342720532E-3</v>
      </c>
      <c r="P5" s="802"/>
      <c r="Q5" s="31">
        <f t="shared" si="3"/>
        <v>0</v>
      </c>
      <c r="R5" s="31"/>
      <c r="S5" s="28">
        <f t="shared" si="4"/>
        <v>0</v>
      </c>
      <c r="T5" s="603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183273</v>
      </c>
      <c r="X5" s="32">
        <f t="shared" si="9"/>
        <v>0</v>
      </c>
      <c r="Y5" s="44" t="s">
        <v>41</v>
      </c>
      <c r="Z5" s="38">
        <f>SUM(Z3:Z4)</f>
        <v>492000</v>
      </c>
      <c r="AA5" s="45">
        <f>SUM(AA3:AA4)</f>
        <v>490635</v>
      </c>
      <c r="AB5" s="46">
        <f>SUM(AB3:AB4)</f>
        <v>90952</v>
      </c>
      <c r="AC5" s="41">
        <f>SUM(AC3:AC4)</f>
        <v>327283</v>
      </c>
      <c r="AD5" s="40">
        <f>SUM(AD3:AD4)</f>
        <v>72336</v>
      </c>
      <c r="AE5" s="41">
        <f>SUM(AB5:AD5)</f>
        <v>490571</v>
      </c>
      <c r="AF5" s="47">
        <f>SUM(AF3:AF4)</f>
        <v>64</v>
      </c>
      <c r="AG5" s="47">
        <f>SUM(AG3:AG4)</f>
        <v>64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612">
        <v>12000</v>
      </c>
      <c r="I6" s="26"/>
      <c r="J6" s="26"/>
      <c r="K6" s="27">
        <f t="shared" si="0"/>
        <v>12000</v>
      </c>
      <c r="L6" s="28">
        <f t="shared" si="1"/>
        <v>171273</v>
      </c>
      <c r="M6" s="29"/>
      <c r="N6" s="799"/>
      <c r="O6" s="30">
        <f t="shared" si="2"/>
        <v>5.6473777342720528E-2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171273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612">
        <f>12370+1796</f>
        <v>14166</v>
      </c>
      <c r="I7" s="612">
        <f>800+604+2430</f>
        <v>3834</v>
      </c>
      <c r="J7" s="26"/>
      <c r="K7" s="27">
        <f t="shared" si="0"/>
        <v>18000</v>
      </c>
      <c r="L7" s="28">
        <f t="shared" si="1"/>
        <v>153273</v>
      </c>
      <c r="M7" s="29"/>
      <c r="N7" s="799"/>
      <c r="O7" s="30">
        <f t="shared" si="2"/>
        <v>8.4710666014080796E-2</v>
      </c>
      <c r="P7" s="802"/>
      <c r="Q7" s="31">
        <f t="shared" si="3"/>
        <v>0</v>
      </c>
      <c r="R7" s="31"/>
      <c r="S7" s="28">
        <f t="shared" si="4"/>
        <v>14166</v>
      </c>
      <c r="T7" s="603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153273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612">
        <v>2500</v>
      </c>
      <c r="I8" s="26"/>
      <c r="J8" s="26"/>
      <c r="K8" s="27">
        <f t="shared" si="0"/>
        <v>2500</v>
      </c>
      <c r="L8" s="28">
        <f t="shared" si="1"/>
        <v>150773</v>
      </c>
      <c r="M8" s="29"/>
      <c r="N8" s="799"/>
      <c r="O8" s="30">
        <f t="shared" si="2"/>
        <v>1.1765370279733444E-2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150773</v>
      </c>
      <c r="X8" s="32">
        <f t="shared" si="9"/>
        <v>0</v>
      </c>
      <c r="Y8" s="14" t="s">
        <v>47</v>
      </c>
      <c r="Z8" s="54">
        <v>41921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612">
        <v>1223</v>
      </c>
      <c r="I9" s="612">
        <v>977</v>
      </c>
      <c r="J9" s="26"/>
      <c r="K9" s="27">
        <f t="shared" si="0"/>
        <v>2200</v>
      </c>
      <c r="L9" s="28">
        <f t="shared" si="1"/>
        <v>148573</v>
      </c>
      <c r="M9" s="29"/>
      <c r="N9" s="799"/>
      <c r="O9" s="30">
        <f t="shared" si="2"/>
        <v>1.035352584616543E-2</v>
      </c>
      <c r="P9" s="802"/>
      <c r="Q9" s="31">
        <f t="shared" si="3"/>
        <v>0</v>
      </c>
      <c r="R9" s="31"/>
      <c r="S9" s="28">
        <f t="shared" si="4"/>
        <v>1223</v>
      </c>
      <c r="T9" s="603">
        <f t="shared" si="5"/>
        <v>977</v>
      </c>
      <c r="U9" s="28">
        <f t="shared" si="6"/>
        <v>0</v>
      </c>
      <c r="V9" s="28">
        <f t="shared" si="7"/>
        <v>2200</v>
      </c>
      <c r="W9" s="31">
        <f t="shared" si="8"/>
        <v>148573</v>
      </c>
      <c r="X9" s="32">
        <f t="shared" si="9"/>
        <v>0</v>
      </c>
      <c r="Y9" s="14" t="s">
        <v>189</v>
      </c>
      <c r="Z9" s="58">
        <f>492000-AB9</f>
        <v>492000</v>
      </c>
      <c r="AA9" s="59">
        <f>Z9*14.65/14.73</f>
        <v>489327.90224032587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-97663.999999999985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612">
        <v>15000</v>
      </c>
      <c r="I10" s="612">
        <v>5000</v>
      </c>
      <c r="J10" s="26"/>
      <c r="K10" s="27">
        <f t="shared" si="0"/>
        <v>20000</v>
      </c>
      <c r="L10" s="28">
        <f t="shared" si="1"/>
        <v>128573</v>
      </c>
      <c r="M10" s="29"/>
      <c r="N10" s="799"/>
      <c r="O10" s="30">
        <f t="shared" si="2"/>
        <v>9.412296223786755E-2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603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128573</v>
      </c>
      <c r="X10" s="32">
        <f t="shared" si="9"/>
        <v>0</v>
      </c>
      <c r="Y10" s="14" t="s">
        <v>191</v>
      </c>
      <c r="Z10" s="58">
        <f>ROUND((Z9*Z30),0)</f>
        <v>490635</v>
      </c>
      <c r="AA10" s="59">
        <f>Z10*14.65/14.73</f>
        <v>487970.31568228104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-59215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612">
        <v>18000</v>
      </c>
      <c r="I11" s="26"/>
      <c r="J11" s="26"/>
      <c r="K11" s="27">
        <f t="shared" si="0"/>
        <v>18000</v>
      </c>
      <c r="L11" s="28">
        <f t="shared" si="1"/>
        <v>110573</v>
      </c>
      <c r="M11" s="29"/>
      <c r="N11" s="799"/>
      <c r="O11" s="30">
        <f t="shared" si="2"/>
        <v>8.4710666014080796E-2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110573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-38448.999999999985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612">
        <v>3600</v>
      </c>
      <c r="I12" s="26"/>
      <c r="J12" s="26"/>
      <c r="K12" s="27">
        <f t="shared" si="0"/>
        <v>3600</v>
      </c>
      <c r="L12" s="28">
        <f t="shared" si="1"/>
        <v>106973</v>
      </c>
      <c r="M12" s="29"/>
      <c r="N12" s="799"/>
      <c r="O12" s="30">
        <f t="shared" si="2"/>
        <v>1.6942133202816158E-2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106973</v>
      </c>
      <c r="X12" s="32">
        <f t="shared" si="9"/>
        <v>0</v>
      </c>
      <c r="Y12" s="14" t="s">
        <v>64</v>
      </c>
      <c r="Z12" s="58"/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639"/>
      <c r="I13" s="639">
        <v>6000</v>
      </c>
      <c r="J13" s="26"/>
      <c r="K13" s="27">
        <f t="shared" si="0"/>
        <v>6000</v>
      </c>
      <c r="L13" s="28">
        <f t="shared" si="1"/>
        <v>100973</v>
      </c>
      <c r="M13" s="29"/>
      <c r="N13" s="799"/>
      <c r="O13" s="30">
        <f t="shared" si="2"/>
        <v>2.8236888671360264E-2</v>
      </c>
      <c r="P13" s="802"/>
      <c r="Q13" s="31">
        <f t="shared" si="3"/>
        <v>0</v>
      </c>
      <c r="R13" s="31">
        <v>0</v>
      </c>
      <c r="S13" s="28">
        <f t="shared" si="4"/>
        <v>0</v>
      </c>
      <c r="T13" s="28">
        <f t="shared" si="5"/>
        <v>6000</v>
      </c>
      <c r="U13" s="28">
        <f t="shared" si="6"/>
        <v>0</v>
      </c>
      <c r="V13" s="28">
        <f t="shared" si="7"/>
        <v>6000</v>
      </c>
      <c r="W13" s="31">
        <f t="shared" si="8"/>
        <v>100973</v>
      </c>
      <c r="X13" s="32">
        <f t="shared" si="9"/>
        <v>0</v>
      </c>
      <c r="Y13" s="14" t="s">
        <v>67</v>
      </c>
      <c r="Z13" s="67">
        <f>Z14/Z30</f>
        <v>491999.76507913216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612">
        <v>8588</v>
      </c>
      <c r="I14" s="26">
        <v>0</v>
      </c>
      <c r="J14" s="26"/>
      <c r="K14" s="27">
        <f t="shared" si="0"/>
        <v>8588</v>
      </c>
      <c r="L14" s="28">
        <f t="shared" si="1"/>
        <v>92385</v>
      </c>
      <c r="M14" s="29"/>
      <c r="N14" s="799"/>
      <c r="O14" s="30">
        <f t="shared" si="2"/>
        <v>4.0416399984940329E-2</v>
      </c>
      <c r="P14" s="802"/>
      <c r="Q14" s="31">
        <f t="shared" si="3"/>
        <v>0</v>
      </c>
      <c r="R14" s="31">
        <v>0</v>
      </c>
      <c r="S14" s="28">
        <f t="shared" si="4"/>
        <v>8588</v>
      </c>
      <c r="T14" s="28">
        <f t="shared" si="5"/>
        <v>0</v>
      </c>
      <c r="U14" s="28">
        <f t="shared" si="6"/>
        <v>0</v>
      </c>
      <c r="V14" s="28">
        <f t="shared" si="7"/>
        <v>8588</v>
      </c>
      <c r="W14" s="31">
        <f t="shared" si="8"/>
        <v>92385</v>
      </c>
      <c r="X14" s="32">
        <f t="shared" si="9"/>
        <v>0</v>
      </c>
      <c r="Y14" s="14" t="s">
        <v>70</v>
      </c>
      <c r="Z14" s="67">
        <f>+Z10-(Z11+Z12)</f>
        <v>490635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612">
        <v>12000</v>
      </c>
      <c r="I15" s="26"/>
      <c r="J15" s="26"/>
      <c r="K15" s="27">
        <f t="shared" si="0"/>
        <v>12000</v>
      </c>
      <c r="L15" s="28">
        <f t="shared" si="1"/>
        <v>80385</v>
      </c>
      <c r="M15" s="29"/>
      <c r="N15" s="799"/>
      <c r="O15" s="30">
        <f t="shared" si="2"/>
        <v>5.6473777342720528E-2</v>
      </c>
      <c r="P15" s="802"/>
      <c r="Q15" s="31">
        <f t="shared" si="3"/>
        <v>0</v>
      </c>
      <c r="R15" s="31">
        <v>0</v>
      </c>
      <c r="S15" s="28">
        <f t="shared" si="4"/>
        <v>12000</v>
      </c>
      <c r="T15" s="28">
        <f t="shared" si="5"/>
        <v>0</v>
      </c>
      <c r="U15" s="28">
        <f t="shared" si="6"/>
        <v>0</v>
      </c>
      <c r="V15" s="28">
        <f t="shared" si="7"/>
        <v>12000</v>
      </c>
      <c r="W15" s="31">
        <f t="shared" si="8"/>
        <v>80385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612">
        <v>20500</v>
      </c>
      <c r="I16" s="26"/>
      <c r="J16" s="26"/>
      <c r="K16" s="27">
        <f t="shared" si="0"/>
        <v>20500</v>
      </c>
      <c r="L16" s="28">
        <f t="shared" si="1"/>
        <v>59885</v>
      </c>
      <c r="M16" s="29"/>
      <c r="N16" s="799"/>
      <c r="O16" s="30">
        <f t="shared" si="2"/>
        <v>9.6476036293814238E-2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59885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612">
        <v>2673</v>
      </c>
      <c r="I17" s="612">
        <v>3000</v>
      </c>
      <c r="J17" s="26"/>
      <c r="K17" s="27">
        <f t="shared" si="0"/>
        <v>5673</v>
      </c>
      <c r="L17" s="28">
        <f t="shared" si="1"/>
        <v>54212</v>
      </c>
      <c r="M17" s="29"/>
      <c r="N17" s="799"/>
      <c r="O17" s="30">
        <f t="shared" si="2"/>
        <v>2.6697978238771132E-2</v>
      </c>
      <c r="P17" s="802"/>
      <c r="Q17" s="31">
        <f t="shared" si="3"/>
        <v>0</v>
      </c>
      <c r="R17" s="31">
        <v>0</v>
      </c>
      <c r="S17" s="28">
        <f t="shared" si="4"/>
        <v>2673</v>
      </c>
      <c r="T17" s="603">
        <f t="shared" si="5"/>
        <v>3000</v>
      </c>
      <c r="U17" s="28">
        <f t="shared" si="6"/>
        <v>0</v>
      </c>
      <c r="V17" s="28">
        <f t="shared" si="7"/>
        <v>5673</v>
      </c>
      <c r="W17" s="31">
        <f t="shared" si="8"/>
        <v>54212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612">
        <v>327</v>
      </c>
      <c r="J18" s="26"/>
      <c r="K18" s="27">
        <f t="shared" si="0"/>
        <v>327</v>
      </c>
      <c r="L18" s="28">
        <f t="shared" si="1"/>
        <v>53885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603">
        <f t="shared" si="5"/>
        <v>327</v>
      </c>
      <c r="U18" s="28">
        <f t="shared" si="6"/>
        <v>0</v>
      </c>
      <c r="V18" s="28">
        <f t="shared" si="7"/>
        <v>327</v>
      </c>
      <c r="W18" s="31">
        <f t="shared" si="8"/>
        <v>53885</v>
      </c>
      <c r="X18" s="32"/>
      <c r="Y18" s="14" t="s">
        <v>77</v>
      </c>
      <c r="Z18" s="71">
        <f>ROUND(Z14*0.43,0)</f>
        <v>210973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/>
      <c r="I19" s="26"/>
      <c r="J19" s="26"/>
      <c r="K19" s="27">
        <f t="shared" si="0"/>
        <v>0</v>
      </c>
      <c r="L19" s="28">
        <f t="shared" si="1"/>
        <v>53885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53885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612">
        <v>1500</v>
      </c>
      <c r="I20" s="26">
        <v>0</v>
      </c>
      <c r="J20" s="26"/>
      <c r="K20" s="27">
        <f t="shared" si="0"/>
        <v>1500</v>
      </c>
      <c r="L20" s="28">
        <f t="shared" si="1"/>
        <v>52385</v>
      </c>
      <c r="M20" s="29"/>
      <c r="N20" s="799"/>
      <c r="O20" s="30">
        <f t="shared" si="2"/>
        <v>7.059222167840066E-3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52385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52385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52385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612">
        <v>7500</v>
      </c>
      <c r="I22" s="26">
        <v>0</v>
      </c>
      <c r="J22" s="26"/>
      <c r="K22" s="27">
        <f t="shared" si="0"/>
        <v>7500</v>
      </c>
      <c r="L22" s="28">
        <f t="shared" si="1"/>
        <v>44885</v>
      </c>
      <c r="M22" s="29"/>
      <c r="N22" s="799"/>
      <c r="O22" s="30">
        <f t="shared" si="2"/>
        <v>3.5296110839200333E-2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44885</v>
      </c>
      <c r="X22" s="32">
        <f t="shared" si="9"/>
        <v>0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44885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44885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44885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44885</v>
      </c>
      <c r="X24" s="32">
        <f t="shared" si="9"/>
        <v>0</v>
      </c>
      <c r="Y24" s="74" t="s">
        <v>169</v>
      </c>
      <c r="Z24" s="75">
        <f>+Z18+Z19</f>
        <v>210973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612">
        <v>12000</v>
      </c>
      <c r="I25" s="26"/>
      <c r="J25" s="26"/>
      <c r="K25" s="27">
        <f t="shared" si="0"/>
        <v>12000</v>
      </c>
      <c r="L25" s="28">
        <f t="shared" si="1"/>
        <v>32885</v>
      </c>
      <c r="M25" s="29"/>
      <c r="N25" s="799"/>
      <c r="O25" s="30">
        <f t="shared" si="2"/>
        <v>5.6473777342720528E-2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88" si="11">+W24-V25</f>
        <v>32885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13">
        <v>34400</v>
      </c>
      <c r="K26" s="442">
        <f t="shared" si="0"/>
        <v>34400</v>
      </c>
      <c r="L26" s="28">
        <f t="shared" si="1"/>
        <v>-1515</v>
      </c>
      <c r="M26" s="86"/>
      <c r="N26" s="800"/>
      <c r="O26" s="87">
        <f t="shared" si="2"/>
        <v>0.16189149504913219</v>
      </c>
      <c r="P26" s="803"/>
      <c r="Q26" s="144">
        <f t="shared" si="3"/>
        <v>0</v>
      </c>
      <c r="R26" s="144">
        <v>-20515</v>
      </c>
      <c r="S26" s="423">
        <f t="shared" si="4"/>
        <v>0</v>
      </c>
      <c r="T26" s="423">
        <f t="shared" si="5"/>
        <v>0</v>
      </c>
      <c r="U26" s="423">
        <f t="shared" si="6"/>
        <v>13885</v>
      </c>
      <c r="V26" s="423">
        <f t="shared" si="7"/>
        <v>13885</v>
      </c>
      <c r="W26" s="31">
        <f t="shared" si="11"/>
        <v>19000</v>
      </c>
      <c r="X26" s="32">
        <f t="shared" si="9"/>
        <v>20515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-1515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1"/>
        <v>19000</v>
      </c>
      <c r="X27" s="32">
        <f t="shared" si="9"/>
        <v>20515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-1515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19000</v>
      </c>
      <c r="X28" s="32">
        <f t="shared" si="9"/>
        <v>20515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46315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-1515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19000</v>
      </c>
      <c r="X29" s="32">
        <f t="shared" si="9"/>
        <v>20515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-1515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19000</v>
      </c>
      <c r="X30" s="32">
        <f t="shared" si="9"/>
        <v>20515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-1515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19000</v>
      </c>
      <c r="X31" s="32">
        <f t="shared" si="9"/>
        <v>20515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-1515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19000</v>
      </c>
      <c r="X32" s="32">
        <f t="shared" si="9"/>
        <v>20515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-1515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19000</v>
      </c>
      <c r="X33" s="32">
        <f t="shared" si="9"/>
        <v>20515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-1515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19000</v>
      </c>
      <c r="X34" s="32">
        <f t="shared" si="9"/>
        <v>20515</v>
      </c>
      <c r="Y34" s="806"/>
      <c r="Z34" s="112">
        <v>100000</v>
      </c>
      <c r="AA34" s="113">
        <f>AD5-Z34</f>
        <v>-27664</v>
      </c>
      <c r="AB34" s="113">
        <f>Z34+AA34</f>
        <v>72336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-1515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19000</v>
      </c>
      <c r="X35" s="32">
        <f>W35-L35</f>
        <v>20515</v>
      </c>
      <c r="Y35" s="117" t="s">
        <v>56</v>
      </c>
      <c r="Z35" s="113">
        <f>Z34*43%</f>
        <v>43000</v>
      </c>
      <c r="AA35" s="113">
        <f>AD4-Z35</f>
        <v>-29115</v>
      </c>
      <c r="AB35" s="113">
        <f>Z35+AA35</f>
        <v>13885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-1515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19000</v>
      </c>
      <c r="X36" s="32">
        <f t="shared" si="9"/>
        <v>20515</v>
      </c>
      <c r="Y36" s="117" t="s">
        <v>60</v>
      </c>
      <c r="Z36" s="113">
        <f>Z34*57%</f>
        <v>56999.999999999993</v>
      </c>
      <c r="AA36" s="113">
        <f>AD3-Z36</f>
        <v>1451.0000000000073</v>
      </c>
      <c r="AB36" s="113">
        <f>Z36+AA36</f>
        <v>58451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-1515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19000</v>
      </c>
      <c r="X37" s="32">
        <f t="shared" si="9"/>
        <v>20515</v>
      </c>
      <c r="Y37" s="117" t="s">
        <v>94</v>
      </c>
      <c r="Z37" s="113">
        <f>+Z35+Z36</f>
        <v>100000</v>
      </c>
      <c r="AA37" s="113">
        <f>SUM(AA35:AA36)</f>
        <v>-27663.999999999993</v>
      </c>
      <c r="AB37" s="113">
        <f>Z37+AA37</f>
        <v>72336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>
        <v>0</v>
      </c>
      <c r="I38" s="26"/>
      <c r="J38" s="26"/>
      <c r="K38" s="27">
        <f t="shared" si="0"/>
        <v>0</v>
      </c>
      <c r="L38" s="28">
        <f>+L37-K38</f>
        <v>-1515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19000</v>
      </c>
      <c r="X38" s="32">
        <f t="shared" si="9"/>
        <v>20515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-1515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19000</v>
      </c>
      <c r="X39" s="32">
        <f t="shared" si="9"/>
        <v>20515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-1515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19000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-1515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19000</v>
      </c>
      <c r="X41" s="32">
        <f t="shared" si="9"/>
        <v>20515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-1515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19000</v>
      </c>
      <c r="X42" s="32">
        <f t="shared" si="9"/>
        <v>20515</v>
      </c>
      <c r="Y42" s="74" t="s">
        <v>96</v>
      </c>
      <c r="Z42" s="75">
        <v>35500</v>
      </c>
      <c r="AA42" s="129">
        <f>+H7+H8+H17+H18+H19+H22+H32+H33+H43+H44+H45+H53</f>
        <v>28839</v>
      </c>
      <c r="AB42" s="129">
        <f>+I7+I8+I17+I18+I19+I22+I32+I33+I43+I44+I45+I53</f>
        <v>7161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-1515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19000</v>
      </c>
      <c r="X43" s="32">
        <f t="shared" si="9"/>
        <v>20515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-1515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19000</v>
      </c>
      <c r="X44" s="32">
        <f t="shared" si="9"/>
        <v>20515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-1515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19000</v>
      </c>
      <c r="X45" s="32">
        <f t="shared" si="9"/>
        <v>20515</v>
      </c>
      <c r="Y45" s="131" t="s">
        <v>98</v>
      </c>
      <c r="Z45" s="132">
        <v>9600</v>
      </c>
      <c r="AA45" s="133">
        <f>+H12+H13+H37+H38</f>
        <v>3600</v>
      </c>
      <c r="AB45" s="133">
        <f>+I12+I13+I37+I38</f>
        <v>6000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612">
        <v>10000</v>
      </c>
      <c r="I46" s="26"/>
      <c r="J46" s="26"/>
      <c r="K46" s="27">
        <f t="shared" si="0"/>
        <v>10000</v>
      </c>
      <c r="L46" s="28">
        <f>+L45-K46</f>
        <v>-11515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11"/>
        <v>9000</v>
      </c>
      <c r="X46" s="32">
        <f t="shared" si="9"/>
        <v>20515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-11515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9000</v>
      </c>
      <c r="X47" s="32">
        <f t="shared" si="9"/>
        <v>20515</v>
      </c>
      <c r="Y47" s="57">
        <v>20000</v>
      </c>
      <c r="Z47" s="89">
        <v>4586</v>
      </c>
      <c r="AA47" s="35"/>
      <c r="AB47" s="57">
        <f>57000-AA60</f>
        <v>-1451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-11515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9000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-11515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9000</v>
      </c>
      <c r="X49" s="32">
        <f t="shared" si="9"/>
        <v>20515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-11515</v>
      </c>
      <c r="M50" s="95"/>
      <c r="N50" s="804">
        <f>SUM(K50:K55)</f>
        <v>9000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9000</v>
      </c>
      <c r="X50" s="32">
        <f t="shared" si="9"/>
        <v>20515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26"/>
      <c r="J51" s="611"/>
      <c r="K51" s="27">
        <f t="shared" si="0"/>
        <v>0</v>
      </c>
      <c r="L51" s="28">
        <f t="shared" si="1"/>
        <v>-11515</v>
      </c>
      <c r="M51" s="234"/>
      <c r="N51" s="799"/>
      <c r="O51" s="184"/>
      <c r="P51" s="802"/>
      <c r="Q51" s="31"/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11"/>
        <v>9000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-11515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9000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612">
        <v>2000</v>
      </c>
      <c r="I53" s="26"/>
      <c r="J53" s="26"/>
      <c r="K53" s="27">
        <f t="shared" si="0"/>
        <v>2000</v>
      </c>
      <c r="L53" s="28">
        <f>+L52-K53</f>
        <v>-13515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/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11"/>
        <v>7000</v>
      </c>
      <c r="X53" s="32">
        <f t="shared" si="9"/>
        <v>20515</v>
      </c>
      <c r="Y53" s="80">
        <f>+Y52-15000</f>
        <v>-2513.5</v>
      </c>
      <c r="Z53" s="49">
        <f>+Z60-43000</f>
        <v>-29115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-13515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7000</v>
      </c>
      <c r="X54" s="32">
        <f t="shared" si="9"/>
        <v>20515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612">
        <v>7000</v>
      </c>
      <c r="J55" s="143"/>
      <c r="K55" s="27">
        <f t="shared" si="0"/>
        <v>7000</v>
      </c>
      <c r="L55" s="423">
        <f t="shared" si="1"/>
        <v>-20515</v>
      </c>
      <c r="M55" s="86"/>
      <c r="N55" s="800"/>
      <c r="O55" s="87">
        <f t="shared" si="12"/>
        <v>0.7</v>
      </c>
      <c r="P55" s="803"/>
      <c r="Q55" s="97">
        <f t="shared" si="13"/>
        <v>0</v>
      </c>
      <c r="R55" s="31"/>
      <c r="S55" s="423">
        <f t="shared" si="4"/>
        <v>0</v>
      </c>
      <c r="T55" s="603">
        <f>IF(I55&lt;&gt;0,+I55+Q55+R55,0)</f>
        <v>7000</v>
      </c>
      <c r="U55" s="423">
        <f t="shared" si="6"/>
        <v>0</v>
      </c>
      <c r="V55" s="423">
        <f>+S55+T55+U55</f>
        <v>7000</v>
      </c>
      <c r="W55" s="31">
        <f t="shared" si="11"/>
        <v>0</v>
      </c>
      <c r="X55" s="119">
        <f t="shared" si="9"/>
        <v>20515</v>
      </c>
      <c r="Y55" s="807">
        <f>Z8</f>
        <v>41921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-20515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0</v>
      </c>
      <c r="X56" s="119">
        <f t="shared" si="9"/>
        <v>20515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-20515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-20515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0</v>
      </c>
      <c r="X58" s="408"/>
      <c r="Y58" s="180" t="s">
        <v>7</v>
      </c>
      <c r="Z58" s="181">
        <f>+AB4</f>
        <v>50838</v>
      </c>
      <c r="AA58" s="182">
        <f>+AB3</f>
        <v>40114</v>
      </c>
      <c r="AB58" s="182">
        <f>Z12</f>
        <v>0</v>
      </c>
      <c r="AC58" s="181">
        <f>AB10</f>
        <v>0</v>
      </c>
      <c r="AD58" s="183">
        <f>SUM(Z58:AC58)</f>
        <v>90952</v>
      </c>
      <c r="AE58" s="185"/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-20515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0</v>
      </c>
      <c r="X59" s="408"/>
      <c r="Y59" s="180" t="s">
        <v>17</v>
      </c>
      <c r="Z59" s="182">
        <f>+AC4</f>
        <v>146250</v>
      </c>
      <c r="AA59" s="182">
        <f>AC3</f>
        <v>181033</v>
      </c>
      <c r="AB59" s="182">
        <f>Z11</f>
        <v>0</v>
      </c>
      <c r="AC59" s="181">
        <v>0</v>
      </c>
      <c r="AD59" s="183">
        <f>SUM(Z59:AC59)</f>
        <v>327283</v>
      </c>
      <c r="AE59" s="185"/>
      <c r="AF59" s="51"/>
      <c r="AG59" s="51"/>
      <c r="AH59" s="51"/>
      <c r="AI59" s="51"/>
      <c r="AJ59" s="50"/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-20515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0</v>
      </c>
      <c r="X60" s="408"/>
      <c r="Y60" s="180" t="s">
        <v>112</v>
      </c>
      <c r="Z60" s="181">
        <f>+AD4+AH11</f>
        <v>13885</v>
      </c>
      <c r="AA60" s="182">
        <f>+AD3+AH10</f>
        <v>58451</v>
      </c>
      <c r="AB60" s="191">
        <v>0</v>
      </c>
      <c r="AC60" s="181">
        <v>0</v>
      </c>
      <c r="AD60" s="183">
        <f>SUM(Z60:AC60)</f>
        <v>72336</v>
      </c>
      <c r="AE60" s="185"/>
      <c r="AF60" s="53">
        <f>AA60-45600</f>
        <v>12851</v>
      </c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-20515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0</v>
      </c>
      <c r="X61" s="408"/>
      <c r="Y61" s="193" t="s">
        <v>113</v>
      </c>
      <c r="Z61" s="194">
        <f>SUM(Z58:Z60)</f>
        <v>210973</v>
      </c>
      <c r="AA61" s="194">
        <f>SUM(AA58:AA60)</f>
        <v>279598</v>
      </c>
      <c r="AB61" s="194">
        <f>SUM(AB58:AB60)</f>
        <v>0</v>
      </c>
      <c r="AC61" s="194">
        <f>AB10</f>
        <v>0</v>
      </c>
      <c r="AD61" s="195">
        <f>SUM(AD58:AD60)</f>
        <v>490571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-20515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0</v>
      </c>
      <c r="X62" s="408"/>
      <c r="Y62" s="199" t="s">
        <v>114</v>
      </c>
      <c r="Z62" s="200">
        <f>(Z58/$Z$28+(Z59/$Z$27)+(Z60/$Z$29))</f>
        <v>211555.06975433379</v>
      </c>
      <c r="AA62" s="200">
        <f>(AA58/$Z$28+(AA59/$Z$27)+(AA60/$Z$29))</f>
        <v>280381.61398955475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491936.68374388857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-20515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0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-20515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0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-20515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0</v>
      </c>
      <c r="X65" s="408"/>
      <c r="Y65" s="371" t="s">
        <v>115</v>
      </c>
      <c r="Z65" s="484"/>
      <c r="AA65" s="203">
        <v>116795.64989594919</v>
      </c>
      <c r="AB65" s="204"/>
      <c r="AC65" s="204"/>
      <c r="AD65" s="205"/>
      <c r="AE65" s="32">
        <v>108797.23749999999</v>
      </c>
      <c r="AF65" s="53">
        <f>+AA65-AE65</f>
        <v>7998.412395949199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-20515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0</v>
      </c>
      <c r="X66" s="408"/>
      <c r="Y66" s="814" t="s">
        <v>116</v>
      </c>
      <c r="Z66" s="815"/>
      <c r="AA66" s="203">
        <v>33046.383150000001</v>
      </c>
      <c r="AB66" s="208"/>
      <c r="AC66" s="208"/>
      <c r="AD66" s="209"/>
      <c r="AE66" s="13">
        <v>52014.378240000005</v>
      </c>
      <c r="AF66" s="53">
        <f>+AA66-AE66</f>
        <v>-18967.995090000004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-20515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-20515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0</v>
      </c>
      <c r="X68" s="211"/>
      <c r="Y68" s="814" t="s">
        <v>188</v>
      </c>
      <c r="Z68" s="815"/>
      <c r="AA68" s="207">
        <f>Z9*Z30+AC61</f>
        <v>490635.23426921753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-20515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-20515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0</v>
      </c>
      <c r="X70" s="211"/>
      <c r="Y70" s="213"/>
      <c r="Z70" s="232">
        <f>+Z61-2200</f>
        <v>208773</v>
      </c>
      <c r="AA70" s="213"/>
      <c r="AB70" s="213"/>
      <c r="AC70" s="213"/>
      <c r="AD70" s="233">
        <v>491197</v>
      </c>
      <c r="AE70" s="233">
        <f>+AD70-(Z61+AA61)</f>
        <v>626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-20515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-20515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0</v>
      </c>
      <c r="X72" s="211"/>
      <c r="Y72" s="214" t="s">
        <v>47</v>
      </c>
      <c r="Z72" s="215">
        <f>Z8</f>
        <v>41921</v>
      </c>
      <c r="AA72" s="818" t="s">
        <v>118</v>
      </c>
      <c r="AB72" s="818"/>
      <c r="AC72" s="818"/>
      <c r="AD72" s="216">
        <v>11.5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12.5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-20515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0</v>
      </c>
      <c r="X73" s="211"/>
      <c r="Y73" s="214" t="s">
        <v>119</v>
      </c>
      <c r="Z73" s="480">
        <f>AD72</f>
        <v>11.5</v>
      </c>
      <c r="AA73" s="634" t="s">
        <v>120</v>
      </c>
      <c r="AB73" s="634"/>
      <c r="AC73" s="634"/>
      <c r="AD73" s="219">
        <f>24-AD72</f>
        <v>12.5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41280</v>
      </c>
      <c r="AO73" s="373">
        <f>AN73*AM72/24</f>
        <v>21500</v>
      </c>
      <c r="AP73" s="19">
        <f>21500*AD72/24</f>
        <v>10302.083333333334</v>
      </c>
      <c r="AQ73" s="19">
        <f>21500-AP73</f>
        <v>11197.916666666666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-20515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633" t="s">
        <v>127</v>
      </c>
      <c r="AK74" s="819"/>
      <c r="AL74" s="819"/>
      <c r="AM74" s="20" t="s">
        <v>232</v>
      </c>
      <c r="AN74" s="19">
        <f>Z79-AN73</f>
        <v>292003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-20515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0</v>
      </c>
      <c r="X75" s="211"/>
      <c r="Y75" s="633" t="s">
        <v>121</v>
      </c>
      <c r="Z75" s="633" t="s">
        <v>122</v>
      </c>
      <c r="AA75" s="633" t="s">
        <v>123</v>
      </c>
      <c r="AB75" s="820" t="s">
        <v>124</v>
      </c>
      <c r="AC75" s="821"/>
      <c r="AD75" s="822"/>
      <c r="AE75" s="633" t="s">
        <v>125</v>
      </c>
      <c r="AF75" s="633" t="s">
        <v>126</v>
      </c>
      <c r="AG75" s="149"/>
      <c r="AH75" s="633" t="s">
        <v>121</v>
      </c>
      <c r="AI75" s="633"/>
      <c r="AJ75" s="214" t="s">
        <v>7</v>
      </c>
      <c r="AK75" s="236">
        <f>((+AD78-AA78)/$AD$73)*24</f>
        <v>98833.919999999998</v>
      </c>
      <c r="AL75" s="236">
        <f>AK75</f>
        <v>98833.919999999998</v>
      </c>
      <c r="AM75" s="20" t="s">
        <v>7</v>
      </c>
      <c r="AN75" s="19">
        <f>AD58</f>
        <v>90952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-20515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0</v>
      </c>
      <c r="X76" s="211"/>
      <c r="Y76" s="633"/>
      <c r="Z76" s="633"/>
      <c r="AA76" s="633"/>
      <c r="AB76" s="633"/>
      <c r="AC76" s="633"/>
      <c r="AD76" s="633"/>
      <c r="AE76" s="633"/>
      <c r="AF76" s="633"/>
      <c r="AG76" s="149"/>
      <c r="AH76" s="633"/>
      <c r="AI76" s="633"/>
      <c r="AJ76" s="214" t="s">
        <v>6</v>
      </c>
      <c r="AK76" s="236">
        <f>((+AD79-AA79)/$AD$73)*24</f>
        <v>324576</v>
      </c>
      <c r="AL76" s="236">
        <f>+AK76</f>
        <v>324576</v>
      </c>
      <c r="AM76" s="464"/>
      <c r="AN76" s="19">
        <f>SUM(AN73:AN75)</f>
        <v>424235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-20515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0</v>
      </c>
      <c r="X77" s="211"/>
      <c r="Y77" s="633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633"/>
      <c r="AI77" s="78"/>
      <c r="AJ77" s="214" t="s">
        <v>8</v>
      </c>
      <c r="AK77" s="236">
        <f>((+AD80-AA80)/$AD$73)*24</f>
        <v>76012.799999999988</v>
      </c>
      <c r="AL77" s="236">
        <f>AK77</f>
        <v>76012.799999999988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-20515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0</v>
      </c>
      <c r="X78" s="211"/>
      <c r="Y78" s="214" t="s">
        <v>7</v>
      </c>
      <c r="Z78" s="224">
        <v>84952</v>
      </c>
      <c r="AA78" s="225">
        <v>39476</v>
      </c>
      <c r="AB78" s="226">
        <f t="shared" ref="AB78:AC80" si="22">+Z58</f>
        <v>50838</v>
      </c>
      <c r="AC78" s="226">
        <f t="shared" si="22"/>
        <v>40114</v>
      </c>
      <c r="AD78" s="226">
        <f>+AB78+AC78+AB58+AC58</f>
        <v>90952</v>
      </c>
      <c r="AE78" s="519">
        <f>+((AD58/24)*$AD$73)+AA78</f>
        <v>86846.833333333328</v>
      </c>
      <c r="AF78" s="227">
        <f>+AE78-AD78</f>
        <v>-4105.1666666666715</v>
      </c>
      <c r="AG78" s="212"/>
      <c r="AH78" s="214" t="s">
        <v>7</v>
      </c>
      <c r="AI78" s="446">
        <f>+AA78</f>
        <v>39476</v>
      </c>
      <c r="AK78" s="231">
        <f>+SUM(AK75:AK77)</f>
        <v>499422.71999999997</v>
      </c>
      <c r="AL78" s="231">
        <f>+SUM(AL75:AL77)</f>
        <v>499422.71999999997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-20515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0</v>
      </c>
      <c r="X79" s="211"/>
      <c r="Y79" s="214" t="s">
        <v>6</v>
      </c>
      <c r="Z79" s="224">
        <v>333283</v>
      </c>
      <c r="AA79" s="225">
        <v>158233</v>
      </c>
      <c r="AB79" s="226">
        <f t="shared" si="22"/>
        <v>146250</v>
      </c>
      <c r="AC79" s="226">
        <f t="shared" si="22"/>
        <v>181033</v>
      </c>
      <c r="AD79" s="226">
        <f>+AB79+AC79+AB59</f>
        <v>327283</v>
      </c>
      <c r="AE79" s="519">
        <f>+((AD59/24)*$AD$73)+AA79</f>
        <v>328692.89583333331</v>
      </c>
      <c r="AF79" s="227">
        <f>+AE79-AD79</f>
        <v>1409.8958333333139</v>
      </c>
      <c r="AG79" s="212"/>
      <c r="AH79" s="214" t="s">
        <v>6</v>
      </c>
      <c r="AI79" s="446">
        <f>+AA79</f>
        <v>158233</v>
      </c>
      <c r="AJ79" s="53"/>
      <c r="AK79" s="481">
        <v>536741</v>
      </c>
      <c r="AL79" s="481">
        <f>AK79-AK78</f>
        <v>37318.280000000028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-20515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0</v>
      </c>
      <c r="X80" s="211"/>
      <c r="Y80" s="214" t="s">
        <v>8</v>
      </c>
      <c r="Z80" s="224">
        <v>72336</v>
      </c>
      <c r="AA80" s="225">
        <v>32746</v>
      </c>
      <c r="AB80" s="226">
        <f t="shared" si="22"/>
        <v>13885</v>
      </c>
      <c r="AC80" s="226">
        <f t="shared" si="22"/>
        <v>58451</v>
      </c>
      <c r="AD80" s="226">
        <f>+AB80+AC80</f>
        <v>72336</v>
      </c>
      <c r="AE80" s="519">
        <f>+((AD60/24)*$AD$73)+AA80</f>
        <v>70421</v>
      </c>
      <c r="AF80" s="227">
        <f>+AE80-AD80</f>
        <v>-1915</v>
      </c>
      <c r="AG80" s="149"/>
      <c r="AH80" s="214" t="s">
        <v>8</v>
      </c>
      <c r="AI80" s="447">
        <f>+AA80</f>
        <v>32746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-20515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0</v>
      </c>
      <c r="X81" s="211"/>
      <c r="Y81" s="228" t="s">
        <v>130</v>
      </c>
      <c r="Z81" s="229">
        <f t="shared" ref="Z81:AE81" si="23">SUM(Z78:Z80)</f>
        <v>490571</v>
      </c>
      <c r="AA81" s="230">
        <f t="shared" si="23"/>
        <v>230455</v>
      </c>
      <c r="AB81" s="229">
        <f t="shared" si="23"/>
        <v>210973</v>
      </c>
      <c r="AC81" s="229">
        <f t="shared" si="23"/>
        <v>279598</v>
      </c>
      <c r="AD81" s="229">
        <f t="shared" si="23"/>
        <v>490571</v>
      </c>
      <c r="AE81" s="229">
        <f t="shared" si="23"/>
        <v>485960.72916666663</v>
      </c>
      <c r="AF81" s="227">
        <f>+SUM(AF78:AF80)</f>
        <v>-4610.2708333333576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-20515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-20515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0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-20515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-20515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-20515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0</v>
      </c>
      <c r="Y86" s="14" t="s">
        <v>177</v>
      </c>
      <c r="Z86" s="336" t="s">
        <v>178</v>
      </c>
      <c r="AA86" s="337">
        <f>+AA81</f>
        <v>230455</v>
      </c>
      <c r="AB86" s="337">
        <f>AA87-AA86</f>
        <v>41734.729166666686</v>
      </c>
      <c r="AC86" s="42">
        <f>AB86*24/5.5</f>
        <v>182115.18181818191</v>
      </c>
      <c r="AD86" s="338">
        <f>AC86+353111</f>
        <v>535226.18181818188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-20515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122656.00000000001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-20515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-20515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0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-20515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-20515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-20515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0</v>
      </c>
      <c r="Y92" s="882" t="s">
        <v>158</v>
      </c>
      <c r="Z92" s="586" t="s">
        <v>283</v>
      </c>
      <c r="AA92" s="587">
        <f>SUMIF($D$2:$D$57,"domiciliario",$I$2:$I$103)</f>
        <v>29511</v>
      </c>
      <c r="AB92" s="626">
        <f>SUMIF($D$2:$D$57,"domiciliario",$T$2:$T$103)</f>
        <v>29511</v>
      </c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-20515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0</v>
      </c>
      <c r="Y93" s="883"/>
      <c r="Z93" s="588" t="s">
        <v>284</v>
      </c>
      <c r="AA93" s="589">
        <f>SUMIF($D$2:$D$57,"industrial",$I$2:$I$103)</f>
        <v>0</v>
      </c>
      <c r="AB93" s="627">
        <f>SUMIF($D$2:$D$57,"industrial",$T$2:$T$103)</f>
        <v>0</v>
      </c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-20515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0</v>
      </c>
      <c r="Y94" s="883"/>
      <c r="Z94" s="588" t="s">
        <v>80</v>
      </c>
      <c r="AA94" s="589">
        <f>SUMIF($D$2:$D$57,"gnv",$I$2:$I$103)</f>
        <v>327</v>
      </c>
      <c r="AB94" s="627">
        <f>SUMIF($D$2:$D$57,"gnv",$T$2:$T$103)</f>
        <v>327</v>
      </c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-20515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0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21000</v>
      </c>
      <c r="AB95" s="627">
        <f>SUMIF($D$2:$D$57,"termico",$T$2:$T$103)+SUMIF($D$2:$D$57,"electrico",$T$2:$T$103)+SUMIF($D$2:$D$57,"térmico",$T$2:$T$103)</f>
        <v>21000</v>
      </c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-20515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0</v>
      </c>
      <c r="Y96" s="884"/>
      <c r="Z96" s="590" t="s">
        <v>286</v>
      </c>
      <c r="AA96" s="591"/>
      <c r="AB96" s="628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-20515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0</v>
      </c>
      <c r="Y97" s="825" t="s">
        <v>154</v>
      </c>
      <c r="Z97" s="489" t="s">
        <v>283</v>
      </c>
      <c r="AA97" s="490">
        <f>SUMIF($D$2:$D$57,"domiciliario",$H$2:$H$103)</f>
        <v>32889</v>
      </c>
      <c r="AB97" s="629">
        <f>SUMIF($D$2:$D$57,"domiciliario",$S$2:$S$103)</f>
        <v>32889</v>
      </c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-20515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0</v>
      </c>
      <c r="Y98" s="826"/>
      <c r="Z98" s="492" t="s">
        <v>284</v>
      </c>
      <c r="AA98" s="493">
        <f>SUMIF($D$2:$D$57,"industrial",$H$2:$H$103)</f>
        <v>34000</v>
      </c>
      <c r="AB98" s="630">
        <f>SUMIF($D$2:$D$57,"industrial",$S$2:$S$103)</f>
        <v>34000</v>
      </c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-20515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0</v>
      </c>
      <c r="Y99" s="826"/>
      <c r="Z99" s="492" t="s">
        <v>80</v>
      </c>
      <c r="AA99" s="493">
        <f>SUMIF($D$2:$D$57,"gnv",$H$2:$H$103)</f>
        <v>0</v>
      </c>
      <c r="AB99" s="630">
        <f>SUMIF($D$2:$D$57,"gnv",$S$2:$S$103)</f>
        <v>0</v>
      </c>
      <c r="AC99" s="345"/>
      <c r="AD99" s="35"/>
      <c r="AE99" s="35"/>
      <c r="AF99" s="353"/>
      <c r="AG99" s="35"/>
      <c r="AH99" s="35"/>
    </row>
    <row r="100" spans="1:40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-20515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0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79361</v>
      </c>
      <c r="AB100" s="630">
        <f>SUMIF($D$2:$D$57,"termico",$S$2:$S$103)+SUMIF($D$2:$D$57,"electrico",$S$2:$S$103)+SUMIF($D$2:$D$57,"térmico",$S$2:$S$103)</f>
        <v>79361</v>
      </c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-20515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0</v>
      </c>
      <c r="Y101" s="827"/>
      <c r="Z101" s="592" t="s">
        <v>312</v>
      </c>
      <c r="AA101" s="500"/>
      <c r="AB101" s="63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-20515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0</v>
      </c>
      <c r="Y102" s="622" t="s">
        <v>289</v>
      </c>
      <c r="Z102" s="623" t="s">
        <v>289</v>
      </c>
      <c r="AA102" s="624">
        <f>SUMIF($D$2:$D$57,"EXPORTACION",$J$2:$J$103)</f>
        <v>34400</v>
      </c>
      <c r="AB102" s="632">
        <f>SUMIF($D$2:$D$57,"EXPORTACION",$U$2:$U$103)</f>
        <v>13885</v>
      </c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-20515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thickBot="1" x14ac:dyDescent="0.35">
      <c r="C105" s="248"/>
      <c r="E105" s="249"/>
      <c r="F105" s="250"/>
      <c r="G105" s="251" t="s">
        <v>139</v>
      </c>
      <c r="H105" s="252">
        <f>+SUM(H2:H103)</f>
        <v>146250</v>
      </c>
      <c r="I105" s="252">
        <f>+SUM(I2:I103)</f>
        <v>50838</v>
      </c>
      <c r="J105" s="252">
        <f>+SUM(J2:J103)</f>
        <v>34400</v>
      </c>
      <c r="K105" s="252">
        <f>SUM(K2:K103)</f>
        <v>231488</v>
      </c>
      <c r="L105" s="253">
        <f>+L103</f>
        <v>-20515</v>
      </c>
      <c r="M105" s="252">
        <f>SUM(M2:M103)</f>
        <v>0</v>
      </c>
      <c r="N105" s="252">
        <f>SUM(N2:N103)</f>
        <v>231488</v>
      </c>
      <c r="O105" s="252"/>
      <c r="P105" s="252">
        <f>SUM(P2:P103)</f>
        <v>0</v>
      </c>
      <c r="Q105" s="252">
        <f>SUM(Q2:Q103)</f>
        <v>0</v>
      </c>
      <c r="R105" s="252">
        <f>SUM(R2:R103)</f>
        <v>-20515</v>
      </c>
      <c r="S105" s="252">
        <f>SUM(S2:S103)</f>
        <v>146250</v>
      </c>
      <c r="T105" s="252">
        <f>+SUM(T2:T103)</f>
        <v>50838</v>
      </c>
      <c r="U105" s="252">
        <f>SUM(U2:U103)</f>
        <v>13885</v>
      </c>
      <c r="V105" s="252">
        <f>SUM(V2:V103)</f>
        <v>210973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</row>
    <row r="112" spans="1:40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</row>
    <row r="113" spans="1:40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J120" s="109" t="s">
        <v>155</v>
      </c>
      <c r="AK120" s="236">
        <v>169523</v>
      </c>
    </row>
    <row r="121" spans="1:40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/>
      <c r="V121" s="196"/>
      <c r="AJ121" s="354" t="s">
        <v>135</v>
      </c>
      <c r="AK121" s="355">
        <v>173236</v>
      </c>
    </row>
    <row r="122" spans="1:40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/>
      <c r="V122" s="196"/>
      <c r="AJ122" s="109"/>
      <c r="AK122" s="236"/>
    </row>
    <row r="123" spans="1:40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/>
      <c r="V123" s="196"/>
      <c r="AJ123" s="354"/>
      <c r="AK123" s="355"/>
    </row>
    <row r="124" spans="1:40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</row>
    <row r="125" spans="1:40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</row>
    <row r="126" spans="1:40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</row>
    <row r="127" spans="1:40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</row>
    <row r="128" spans="1:40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</row>
    <row r="129" spans="1:26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</row>
    <row r="130" spans="1:26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</row>
    <row r="131" spans="1:26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</row>
    <row r="132" spans="1:26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</row>
    <row r="133" spans="1:26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</row>
    <row r="134" spans="1:26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26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26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26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26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26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26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26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26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26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26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196"/>
      <c r="T156" s="19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39" priority="3" operator="lessThan">
      <formula>$AA$78</formula>
    </cfRule>
    <cfRule type="cellIs" dxfId="138" priority="5" operator="greaterThan">
      <formula>$AE$78</formula>
    </cfRule>
  </conditionalFormatting>
  <conditionalFormatting sqref="AA79">
    <cfRule type="cellIs" dxfId="137" priority="4" operator="greaterThan">
      <formula>$AE$79</formula>
    </cfRule>
  </conditionalFormatting>
  <conditionalFormatting sqref="AA80">
    <cfRule type="cellIs" dxfId="136" priority="2" operator="greaterThan">
      <formula>$AE$79</formula>
    </cfRule>
  </conditionalFormatting>
  <conditionalFormatting sqref="AU4:AU23">
    <cfRule type="cellIs" dxfId="135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2060"/>
  </sheetPr>
  <dimension ref="A1:AX186"/>
  <sheetViews>
    <sheetView topLeftCell="S1" zoomScaleNormal="100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38.2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612">
        <v>3000</v>
      </c>
      <c r="I2" s="26">
        <v>0</v>
      </c>
      <c r="J2" s="26"/>
      <c r="K2" s="27">
        <f>SUM(H2:J2)</f>
        <v>3000</v>
      </c>
      <c r="L2" s="28">
        <f>AA4-K2</f>
        <v>207887</v>
      </c>
      <c r="M2" s="29"/>
      <c r="N2" s="798">
        <f>SUM(K2:K26)</f>
        <v>223104</v>
      </c>
      <c r="O2" s="30">
        <f>+K2/$N$2</f>
        <v>1.3446643717728055E-2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207887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636" t="s">
        <v>31</v>
      </c>
      <c r="AE2" s="636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612">
        <v>1100</v>
      </c>
      <c r="J3" s="26"/>
      <c r="K3" s="27">
        <f t="shared" ref="K3:K73" si="0">SUM(H3:J3)</f>
        <v>1100</v>
      </c>
      <c r="L3" s="28">
        <f t="shared" ref="L3:L66" si="1">+L2-K3</f>
        <v>206787</v>
      </c>
      <c r="M3" s="29"/>
      <c r="N3" s="799"/>
      <c r="O3" s="30">
        <f t="shared" ref="O3:O29" si="2">+K3/$N$2</f>
        <v>4.9304360298336198E-3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59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206787</v>
      </c>
      <c r="X3" s="32">
        <f t="shared" ref="X3:X56" si="9">W3-L3</f>
        <v>0</v>
      </c>
      <c r="Y3" s="37" t="s">
        <v>34</v>
      </c>
      <c r="Z3" s="38">
        <f>ROUND((Z13*57%),0)</f>
        <v>280326</v>
      </c>
      <c r="AA3" s="39">
        <f>ROUND((+Z14*0.57),0)</f>
        <v>279549</v>
      </c>
      <c r="AB3" s="454">
        <v>56844</v>
      </c>
      <c r="AC3" s="455">
        <v>184304</v>
      </c>
      <c r="AD3" s="40">
        <v>38343</v>
      </c>
      <c r="AE3" s="41">
        <f>SUM(AB3:AD3)</f>
        <v>279491</v>
      </c>
      <c r="AF3" s="41">
        <f>AA3-AE3</f>
        <v>58</v>
      </c>
      <c r="AG3" s="641">
        <f>AA3-AB3-AC3-AD3</f>
        <v>58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612">
        <v>22400</v>
      </c>
      <c r="J4" s="26"/>
      <c r="K4" s="27">
        <f t="shared" si="0"/>
        <v>22400</v>
      </c>
      <c r="L4" s="28">
        <f t="shared" si="1"/>
        <v>184387</v>
      </c>
      <c r="M4" s="29"/>
      <c r="N4" s="799"/>
      <c r="O4" s="30">
        <f t="shared" si="2"/>
        <v>0.10040160642570281</v>
      </c>
      <c r="P4" s="802"/>
      <c r="Q4" s="31">
        <f t="shared" si="3"/>
        <v>0</v>
      </c>
      <c r="R4" s="31"/>
      <c r="S4" s="28">
        <f t="shared" si="4"/>
        <v>0</v>
      </c>
      <c r="T4" s="59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184387</v>
      </c>
      <c r="X4" s="32">
        <f t="shared" si="9"/>
        <v>0</v>
      </c>
      <c r="Y4" s="37" t="s">
        <v>38</v>
      </c>
      <c r="Z4" s="38">
        <f>ROUND((Z13*43%),0)</f>
        <v>211474</v>
      </c>
      <c r="AA4" s="39">
        <f>ROUND((+Z14*0.43),0)</f>
        <v>210887</v>
      </c>
      <c r="AB4" s="43">
        <f>T105</f>
        <v>39607</v>
      </c>
      <c r="AC4" s="43">
        <f>S105</f>
        <v>168097</v>
      </c>
      <c r="AD4" s="40">
        <f>U105</f>
        <v>3183</v>
      </c>
      <c r="AE4" s="41">
        <f>SUM(AB4:AD4)</f>
        <v>210887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612">
        <v>1200</v>
      </c>
      <c r="J5" s="26"/>
      <c r="K5" s="27">
        <f t="shared" si="0"/>
        <v>1200</v>
      </c>
      <c r="L5" s="28">
        <f t="shared" si="1"/>
        <v>183187</v>
      </c>
      <c r="M5" s="29"/>
      <c r="N5" s="799"/>
      <c r="O5" s="30">
        <f t="shared" si="2"/>
        <v>5.3786574870912218E-3</v>
      </c>
      <c r="P5" s="802"/>
      <c r="Q5" s="31">
        <f t="shared" si="3"/>
        <v>0</v>
      </c>
      <c r="R5" s="31"/>
      <c r="S5" s="28">
        <f t="shared" si="4"/>
        <v>0</v>
      </c>
      <c r="T5" s="59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183187</v>
      </c>
      <c r="X5" s="32">
        <f t="shared" si="9"/>
        <v>0</v>
      </c>
      <c r="Y5" s="44" t="s">
        <v>41</v>
      </c>
      <c r="Z5" s="38">
        <f>SUM(Z3:Z4)</f>
        <v>491800</v>
      </c>
      <c r="AA5" s="45">
        <f>SUM(AA3:AA4)</f>
        <v>490436</v>
      </c>
      <c r="AB5" s="46">
        <f>SUM(AB3:AB4)</f>
        <v>96451</v>
      </c>
      <c r="AC5" s="41">
        <f>SUM(AC3:AC4)</f>
        <v>352401</v>
      </c>
      <c r="AD5" s="40">
        <f>SUM(AD3:AD4)</f>
        <v>41526</v>
      </c>
      <c r="AE5" s="41">
        <f>SUM(AB5:AD5)</f>
        <v>490378</v>
      </c>
      <c r="AF5" s="47">
        <f>SUM(AF3:AF4)</f>
        <v>58</v>
      </c>
      <c r="AG5" s="642">
        <f>SUM(AG3:AG4)</f>
        <v>58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612">
        <v>12000</v>
      </c>
      <c r="I6" s="26"/>
      <c r="J6" s="26"/>
      <c r="K6" s="27">
        <f t="shared" si="0"/>
        <v>12000</v>
      </c>
      <c r="L6" s="28">
        <f t="shared" si="1"/>
        <v>171187</v>
      </c>
      <c r="M6" s="29"/>
      <c r="N6" s="799"/>
      <c r="O6" s="30">
        <f t="shared" si="2"/>
        <v>5.3786574870912221E-2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171187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612">
        <f>12669+1796</f>
        <v>14465</v>
      </c>
      <c r="I7" s="612">
        <f>800+604+2131</f>
        <v>3535</v>
      </c>
      <c r="J7" s="26"/>
      <c r="K7" s="27">
        <f t="shared" si="0"/>
        <v>18000</v>
      </c>
      <c r="L7" s="28">
        <f t="shared" si="1"/>
        <v>153187</v>
      </c>
      <c r="M7" s="29"/>
      <c r="N7" s="799"/>
      <c r="O7" s="30">
        <f t="shared" si="2"/>
        <v>8.0679862306368325E-2</v>
      </c>
      <c r="P7" s="802"/>
      <c r="Q7" s="31">
        <f t="shared" si="3"/>
        <v>0</v>
      </c>
      <c r="R7" s="31"/>
      <c r="S7" s="28">
        <f t="shared" si="4"/>
        <v>14465</v>
      </c>
      <c r="T7" s="598">
        <f t="shared" si="5"/>
        <v>3535</v>
      </c>
      <c r="U7" s="28">
        <f t="shared" si="6"/>
        <v>0</v>
      </c>
      <c r="V7" s="28">
        <f t="shared" si="7"/>
        <v>18000</v>
      </c>
      <c r="W7" s="31">
        <f t="shared" si="8"/>
        <v>153187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612">
        <v>2500</v>
      </c>
      <c r="I8" s="26"/>
      <c r="J8" s="26"/>
      <c r="K8" s="27">
        <f t="shared" si="0"/>
        <v>2500</v>
      </c>
      <c r="L8" s="28">
        <f t="shared" si="1"/>
        <v>150687</v>
      </c>
      <c r="M8" s="29"/>
      <c r="N8" s="799"/>
      <c r="O8" s="30">
        <f t="shared" si="2"/>
        <v>1.1205536431440045E-2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150687</v>
      </c>
      <c r="X8" s="32">
        <f t="shared" si="9"/>
        <v>0</v>
      </c>
      <c r="Y8" s="14" t="s">
        <v>47</v>
      </c>
      <c r="Z8" s="54">
        <v>41922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612">
        <v>1143</v>
      </c>
      <c r="I9" s="612">
        <v>1057</v>
      </c>
      <c r="J9" s="26"/>
      <c r="K9" s="27">
        <f t="shared" si="0"/>
        <v>2200</v>
      </c>
      <c r="L9" s="28">
        <f t="shared" si="1"/>
        <v>148487</v>
      </c>
      <c r="M9" s="29"/>
      <c r="N9" s="799"/>
      <c r="O9" s="30">
        <f t="shared" si="2"/>
        <v>9.8608720596672396E-3</v>
      </c>
      <c r="P9" s="802"/>
      <c r="Q9" s="31">
        <f t="shared" si="3"/>
        <v>0</v>
      </c>
      <c r="R9" s="31"/>
      <c r="S9" s="28">
        <f t="shared" si="4"/>
        <v>1143</v>
      </c>
      <c r="T9" s="598">
        <f t="shared" si="5"/>
        <v>1057</v>
      </c>
      <c r="U9" s="28">
        <f t="shared" si="6"/>
        <v>0</v>
      </c>
      <c r="V9" s="28">
        <f t="shared" si="7"/>
        <v>2200</v>
      </c>
      <c r="W9" s="31">
        <f t="shared" si="8"/>
        <v>148487</v>
      </c>
      <c r="X9" s="32">
        <f t="shared" si="9"/>
        <v>0</v>
      </c>
      <c r="Y9" s="14" t="s">
        <v>189</v>
      </c>
      <c r="Z9" s="58">
        <f>491800-AB9</f>
        <v>491800</v>
      </c>
      <c r="AA9" s="59">
        <f>Z9*14.65/14.73</f>
        <v>489128.98845892737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-128473.99999999999</v>
      </c>
      <c r="AG9" s="49"/>
      <c r="AH9" s="651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612">
        <v>20000</v>
      </c>
      <c r="I10" s="26">
        <v>0</v>
      </c>
      <c r="J10" s="26"/>
      <c r="K10" s="27">
        <f t="shared" si="0"/>
        <v>20000</v>
      </c>
      <c r="L10" s="28">
        <f t="shared" si="1"/>
        <v>128487</v>
      </c>
      <c r="M10" s="29"/>
      <c r="N10" s="799"/>
      <c r="O10" s="30">
        <f t="shared" si="2"/>
        <v>8.9644291451520364E-2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128487</v>
      </c>
      <c r="X10" s="32">
        <f t="shared" si="9"/>
        <v>0</v>
      </c>
      <c r="Y10" s="14" t="s">
        <v>191</v>
      </c>
      <c r="Z10" s="58">
        <f>ROUND((Z9*Z30),0)</f>
        <v>490436</v>
      </c>
      <c r="AA10" s="59">
        <f>Z10*14.65/14.73</f>
        <v>487772.39646978956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-69917</v>
      </c>
      <c r="AG10" s="62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612">
        <v>18000</v>
      </c>
      <c r="I11" s="26"/>
      <c r="J11" s="26"/>
      <c r="K11" s="27">
        <f t="shared" si="0"/>
        <v>18000</v>
      </c>
      <c r="L11" s="28">
        <f t="shared" si="1"/>
        <v>110487</v>
      </c>
      <c r="M11" s="29"/>
      <c r="N11" s="799"/>
      <c r="O11" s="30">
        <f t="shared" si="2"/>
        <v>8.0679862306368325E-2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110487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-58556.999999999985</v>
      </c>
      <c r="AG11" s="62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612">
        <v>3600</v>
      </c>
      <c r="I12" s="26"/>
      <c r="J12" s="26"/>
      <c r="K12" s="27">
        <f t="shared" si="0"/>
        <v>3600</v>
      </c>
      <c r="L12" s="28">
        <f t="shared" si="1"/>
        <v>106887</v>
      </c>
      <c r="M12" s="29"/>
      <c r="N12" s="799"/>
      <c r="O12" s="30">
        <f t="shared" si="2"/>
        <v>1.6135972461273667E-2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106887</v>
      </c>
      <c r="X12" s="32">
        <f t="shared" si="9"/>
        <v>0</v>
      </c>
      <c r="Y12" s="14" t="s">
        <v>64</v>
      </c>
      <c r="Z12" s="58"/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612">
        <v>6000</v>
      </c>
      <c r="I13" s="26">
        <v>0</v>
      </c>
      <c r="J13" s="26"/>
      <c r="K13" s="27">
        <f t="shared" si="0"/>
        <v>6000</v>
      </c>
      <c r="L13" s="28">
        <f t="shared" si="1"/>
        <v>100887</v>
      </c>
      <c r="M13" s="29"/>
      <c r="N13" s="799"/>
      <c r="O13" s="30">
        <f t="shared" si="2"/>
        <v>2.6893287435456111E-2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100887</v>
      </c>
      <c r="X13" s="32">
        <f t="shared" si="9"/>
        <v>0</v>
      </c>
      <c r="Y13" s="14" t="s">
        <v>67</v>
      </c>
      <c r="Z13" s="67">
        <f>Z14/Z30</f>
        <v>491800.2115347443</v>
      </c>
      <c r="AA13" s="35"/>
      <c r="AB13" s="35"/>
      <c r="AC13" s="35"/>
      <c r="AD13" s="57"/>
      <c r="AE13" s="57"/>
      <c r="AF13" s="35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612">
        <v>17200</v>
      </c>
      <c r="I14" s="26">
        <v>0</v>
      </c>
      <c r="J14" s="26"/>
      <c r="K14" s="27">
        <f t="shared" si="0"/>
        <v>17200</v>
      </c>
      <c r="L14" s="28">
        <f t="shared" si="1"/>
        <v>83687</v>
      </c>
      <c r="M14" s="29"/>
      <c r="N14" s="799"/>
      <c r="O14" s="30">
        <f t="shared" si="2"/>
        <v>7.7094090648307509E-2</v>
      </c>
      <c r="P14" s="802"/>
      <c r="Q14" s="31">
        <f t="shared" si="3"/>
        <v>0</v>
      </c>
      <c r="R14" s="31">
        <v>0</v>
      </c>
      <c r="S14" s="28">
        <f t="shared" si="4"/>
        <v>17200</v>
      </c>
      <c r="T14" s="28">
        <f t="shared" si="5"/>
        <v>0</v>
      </c>
      <c r="U14" s="28">
        <f t="shared" si="6"/>
        <v>0</v>
      </c>
      <c r="V14" s="28">
        <f t="shared" si="7"/>
        <v>17200</v>
      </c>
      <c r="W14" s="31">
        <f t="shared" si="8"/>
        <v>83687</v>
      </c>
      <c r="X14" s="32">
        <f t="shared" si="9"/>
        <v>0</v>
      </c>
      <c r="Y14" s="14" t="s">
        <v>70</v>
      </c>
      <c r="Z14" s="67">
        <f>+Z10-(Z11+Z12)</f>
        <v>490436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612">
        <v>14004</v>
      </c>
      <c r="I15" s="26"/>
      <c r="J15" s="26"/>
      <c r="K15" s="27">
        <f t="shared" si="0"/>
        <v>14004</v>
      </c>
      <c r="L15" s="28">
        <f t="shared" si="1"/>
        <v>69683</v>
      </c>
      <c r="M15" s="29"/>
      <c r="N15" s="799"/>
      <c r="O15" s="30">
        <f t="shared" si="2"/>
        <v>6.276893287435456E-2</v>
      </c>
      <c r="P15" s="802"/>
      <c r="Q15" s="31">
        <f t="shared" si="3"/>
        <v>0</v>
      </c>
      <c r="R15" s="31">
        <v>0</v>
      </c>
      <c r="S15" s="28">
        <f t="shared" si="4"/>
        <v>14004</v>
      </c>
      <c r="T15" s="28">
        <f t="shared" si="5"/>
        <v>0</v>
      </c>
      <c r="U15" s="28">
        <f t="shared" si="6"/>
        <v>0</v>
      </c>
      <c r="V15" s="28">
        <f t="shared" si="7"/>
        <v>14004</v>
      </c>
      <c r="W15" s="31">
        <f t="shared" si="8"/>
        <v>69683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612">
        <v>20500</v>
      </c>
      <c r="I16" s="26"/>
      <c r="J16" s="26"/>
      <c r="K16" s="27">
        <f t="shared" si="0"/>
        <v>20500</v>
      </c>
      <c r="L16" s="28">
        <f t="shared" si="1"/>
        <v>49183</v>
      </c>
      <c r="M16" s="29"/>
      <c r="N16" s="799"/>
      <c r="O16" s="30">
        <f t="shared" si="2"/>
        <v>9.1885398737808377E-2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49183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612">
        <v>2685</v>
      </c>
      <c r="I17" s="612">
        <v>3000</v>
      </c>
      <c r="J17" s="26"/>
      <c r="K17" s="27">
        <f t="shared" si="0"/>
        <v>5685</v>
      </c>
      <c r="L17" s="28">
        <f t="shared" si="1"/>
        <v>43498</v>
      </c>
      <c r="M17" s="29"/>
      <c r="N17" s="799"/>
      <c r="O17" s="30">
        <f t="shared" si="2"/>
        <v>2.5481389845094665E-2</v>
      </c>
      <c r="P17" s="802"/>
      <c r="Q17" s="31">
        <f t="shared" si="3"/>
        <v>0</v>
      </c>
      <c r="R17" s="31">
        <v>0</v>
      </c>
      <c r="S17" s="28">
        <f t="shared" si="4"/>
        <v>2685</v>
      </c>
      <c r="T17" s="598">
        <f t="shared" si="5"/>
        <v>3000</v>
      </c>
      <c r="U17" s="28">
        <f t="shared" si="6"/>
        <v>0</v>
      </c>
      <c r="V17" s="28">
        <f t="shared" si="7"/>
        <v>5685</v>
      </c>
      <c r="W17" s="31">
        <f t="shared" si="8"/>
        <v>43498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612">
        <v>315</v>
      </c>
      <c r="J18" s="26"/>
      <c r="K18" s="27">
        <f t="shared" si="0"/>
        <v>315</v>
      </c>
      <c r="L18" s="28">
        <f t="shared" si="1"/>
        <v>43183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598">
        <f t="shared" si="5"/>
        <v>315</v>
      </c>
      <c r="U18" s="28">
        <f t="shared" si="6"/>
        <v>0</v>
      </c>
      <c r="V18" s="28">
        <f t="shared" si="7"/>
        <v>315</v>
      </c>
      <c r="W18" s="31">
        <f t="shared" si="8"/>
        <v>43183</v>
      </c>
      <c r="X18" s="32"/>
      <c r="Y18" s="14" t="s">
        <v>77</v>
      </c>
      <c r="Z18" s="71">
        <f>ROUND(Z14*0.43,0)</f>
        <v>210887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/>
      <c r="I19" s="26"/>
      <c r="J19" s="26"/>
      <c r="K19" s="27">
        <f t="shared" si="0"/>
        <v>0</v>
      </c>
      <c r="L19" s="28">
        <f t="shared" si="1"/>
        <v>43183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43183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612">
        <v>1500</v>
      </c>
      <c r="I20" s="26">
        <v>0</v>
      </c>
      <c r="J20" s="26"/>
      <c r="K20" s="27">
        <f t="shared" si="0"/>
        <v>1500</v>
      </c>
      <c r="L20" s="28">
        <f t="shared" si="1"/>
        <v>41683</v>
      </c>
      <c r="M20" s="29"/>
      <c r="N20" s="799"/>
      <c r="O20" s="30">
        <f t="shared" si="2"/>
        <v>6.7233218588640276E-3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41683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41683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41683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612">
        <v>7500</v>
      </c>
      <c r="I22" s="26">
        <v>0</v>
      </c>
      <c r="J22" s="26"/>
      <c r="K22" s="27">
        <f t="shared" si="0"/>
        <v>7500</v>
      </c>
      <c r="L22" s="28">
        <f t="shared" si="1"/>
        <v>34183</v>
      </c>
      <c r="M22" s="29"/>
      <c r="N22" s="799"/>
      <c r="O22" s="30">
        <f t="shared" si="2"/>
        <v>3.3616609294320136E-2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34183</v>
      </c>
      <c r="X22" s="32">
        <f t="shared" si="9"/>
        <v>0</v>
      </c>
      <c r="Y22" s="14"/>
      <c r="Z22" s="72"/>
      <c r="AE22" s="76"/>
      <c r="AF22" s="51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34183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34183</v>
      </c>
      <c r="X23" s="32"/>
      <c r="Y23" s="14"/>
      <c r="Z23" s="72"/>
      <c r="AE23" s="76"/>
      <c r="AF23" s="51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34183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34183</v>
      </c>
      <c r="X24" s="32">
        <f t="shared" si="9"/>
        <v>0</v>
      </c>
      <c r="Y24" s="74" t="s">
        <v>169</v>
      </c>
      <c r="Z24" s="75">
        <f>+Z18+Z19</f>
        <v>210887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612">
        <v>12000</v>
      </c>
      <c r="I25" s="26"/>
      <c r="J25" s="26"/>
      <c r="K25" s="27">
        <f t="shared" si="0"/>
        <v>12000</v>
      </c>
      <c r="L25" s="28">
        <f t="shared" si="1"/>
        <v>22183</v>
      </c>
      <c r="M25" s="29"/>
      <c r="N25" s="799"/>
      <c r="O25" s="30">
        <f t="shared" si="2"/>
        <v>5.3786574870912221E-2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88" si="10">+W24-V25</f>
        <v>22183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13">
        <v>34400</v>
      </c>
      <c r="K26" s="442">
        <f t="shared" si="0"/>
        <v>34400</v>
      </c>
      <c r="L26" s="28">
        <f t="shared" si="1"/>
        <v>-12217</v>
      </c>
      <c r="M26" s="86"/>
      <c r="N26" s="800"/>
      <c r="O26" s="87">
        <f t="shared" si="2"/>
        <v>0.15418818129661502</v>
      </c>
      <c r="P26" s="803"/>
      <c r="Q26" s="144">
        <f t="shared" si="3"/>
        <v>0</v>
      </c>
      <c r="R26" s="144">
        <v>-31217</v>
      </c>
      <c r="S26" s="423">
        <f t="shared" si="4"/>
        <v>0</v>
      </c>
      <c r="T26" s="423">
        <f t="shared" si="5"/>
        <v>0</v>
      </c>
      <c r="U26" s="423">
        <f t="shared" si="6"/>
        <v>3183</v>
      </c>
      <c r="V26" s="423">
        <f t="shared" si="7"/>
        <v>3183</v>
      </c>
      <c r="W26" s="31">
        <f t="shared" si="10"/>
        <v>19000</v>
      </c>
      <c r="X26" s="32">
        <f t="shared" si="9"/>
        <v>31217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-12217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0"/>
        <v>19000</v>
      </c>
      <c r="X27" s="32">
        <f t="shared" si="9"/>
        <v>31217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-12217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0"/>
        <v>19000</v>
      </c>
      <c r="X28" s="32">
        <f t="shared" si="9"/>
        <v>31217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57017</v>
      </c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-12217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0"/>
        <v>19000</v>
      </c>
      <c r="X29" s="32">
        <f t="shared" si="9"/>
        <v>31217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-12217</v>
      </c>
      <c r="M30" s="29"/>
      <c r="N30" s="799"/>
      <c r="O30" s="30">
        <f t="shared" ref="O30:O56" si="11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0"/>
        <v>19000</v>
      </c>
      <c r="X30" s="32">
        <f t="shared" si="9"/>
        <v>31217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-12217</v>
      </c>
      <c r="M31" s="29"/>
      <c r="N31" s="799"/>
      <c r="O31" s="30">
        <f t="shared" si="11"/>
        <v>0</v>
      </c>
      <c r="P31" s="802"/>
      <c r="Q31" s="31">
        <f t="shared" ref="Q31:Q57" si="12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0"/>
        <v>19000</v>
      </c>
      <c r="X31" s="32">
        <f t="shared" si="9"/>
        <v>31217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-12217</v>
      </c>
      <c r="M32" s="29"/>
      <c r="N32" s="799"/>
      <c r="O32" s="30">
        <f t="shared" si="11"/>
        <v>0</v>
      </c>
      <c r="P32" s="802"/>
      <c r="Q32" s="31">
        <f t="shared" si="12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0"/>
        <v>19000</v>
      </c>
      <c r="X32" s="32">
        <f t="shared" si="9"/>
        <v>31217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-12217</v>
      </c>
      <c r="M33" s="29"/>
      <c r="N33" s="799"/>
      <c r="O33" s="30">
        <f t="shared" si="11"/>
        <v>0</v>
      </c>
      <c r="P33" s="802"/>
      <c r="Q33" s="31">
        <f t="shared" si="12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0"/>
        <v>19000</v>
      </c>
      <c r="X33" s="32">
        <f t="shared" si="9"/>
        <v>31217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-12217</v>
      </c>
      <c r="M34" s="29"/>
      <c r="N34" s="799"/>
      <c r="O34" s="30">
        <f t="shared" si="11"/>
        <v>0</v>
      </c>
      <c r="P34" s="802"/>
      <c r="Q34" s="31">
        <f t="shared" si="12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0"/>
        <v>19000</v>
      </c>
      <c r="X34" s="32">
        <f t="shared" si="9"/>
        <v>31217</v>
      </c>
      <c r="Y34" s="806"/>
      <c r="Z34" s="112">
        <v>100000</v>
      </c>
      <c r="AA34" s="113">
        <f>AD5-Z34</f>
        <v>-58474</v>
      </c>
      <c r="AB34" s="113">
        <f>Z34+AA34</f>
        <v>41526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-12217</v>
      </c>
      <c r="M35" s="29"/>
      <c r="N35" s="799"/>
      <c r="O35" s="30">
        <f t="shared" si="11"/>
        <v>0</v>
      </c>
      <c r="P35" s="802"/>
      <c r="Q35" s="31">
        <f t="shared" si="12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0"/>
        <v>19000</v>
      </c>
      <c r="X35" s="32">
        <f>W35-L35</f>
        <v>31217</v>
      </c>
      <c r="Y35" s="117" t="s">
        <v>56</v>
      </c>
      <c r="Z35" s="113">
        <f>Z34*43%</f>
        <v>43000</v>
      </c>
      <c r="AA35" s="113">
        <f>AD4-Z35</f>
        <v>-39817</v>
      </c>
      <c r="AB35" s="113">
        <f>Z35+AA35</f>
        <v>3183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-12217</v>
      </c>
      <c r="M36" s="29"/>
      <c r="N36" s="799"/>
      <c r="O36" s="30">
        <f t="shared" si="11"/>
        <v>0</v>
      </c>
      <c r="P36" s="802"/>
      <c r="Q36" s="31">
        <f t="shared" si="12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0"/>
        <v>19000</v>
      </c>
      <c r="X36" s="32">
        <f t="shared" si="9"/>
        <v>31217</v>
      </c>
      <c r="Y36" s="117" t="s">
        <v>60</v>
      </c>
      <c r="Z36" s="113">
        <f>Z34*57%</f>
        <v>56999.999999999993</v>
      </c>
      <c r="AA36" s="113">
        <f>AD3-Z36</f>
        <v>-18656.999999999993</v>
      </c>
      <c r="AB36" s="113">
        <f>Z36+AA36</f>
        <v>38343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-12217</v>
      </c>
      <c r="M37" s="29"/>
      <c r="N37" s="799"/>
      <c r="O37" s="30">
        <f t="shared" si="11"/>
        <v>0</v>
      </c>
      <c r="P37" s="802"/>
      <c r="Q37" s="31">
        <f t="shared" si="12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0"/>
        <v>19000</v>
      </c>
      <c r="X37" s="32">
        <f t="shared" si="9"/>
        <v>31217</v>
      </c>
      <c r="Y37" s="117" t="s">
        <v>94</v>
      </c>
      <c r="Z37" s="113">
        <f>+Z35+Z36</f>
        <v>100000</v>
      </c>
      <c r="AA37" s="113">
        <f>SUM(AA35:AA36)</f>
        <v>-58473.999999999993</v>
      </c>
      <c r="AB37" s="113">
        <f>Z37+AA37</f>
        <v>41526.000000000007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>
        <v>0</v>
      </c>
      <c r="I38" s="26"/>
      <c r="J38" s="26"/>
      <c r="K38" s="27">
        <f t="shared" si="0"/>
        <v>0</v>
      </c>
      <c r="L38" s="28">
        <f>+L37-K38</f>
        <v>-12217</v>
      </c>
      <c r="M38" s="29"/>
      <c r="N38" s="799"/>
      <c r="O38" s="30">
        <f t="shared" si="11"/>
        <v>0</v>
      </c>
      <c r="P38" s="802"/>
      <c r="Q38" s="31">
        <f t="shared" si="12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0"/>
        <v>19000</v>
      </c>
      <c r="X38" s="32">
        <f t="shared" si="9"/>
        <v>31217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-12217</v>
      </c>
      <c r="M39" s="29"/>
      <c r="N39" s="799"/>
      <c r="O39" s="30">
        <f t="shared" si="11"/>
        <v>0</v>
      </c>
      <c r="P39" s="802"/>
      <c r="Q39" s="31">
        <f t="shared" si="12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0"/>
        <v>19000</v>
      </c>
      <c r="X39" s="32">
        <f t="shared" si="9"/>
        <v>31217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-12217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0"/>
        <v>19000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-12217</v>
      </c>
      <c r="M41" s="29"/>
      <c r="N41" s="799"/>
      <c r="O41" s="30">
        <f t="shared" si="11"/>
        <v>0</v>
      </c>
      <c r="P41" s="802"/>
      <c r="Q41" s="31">
        <f t="shared" si="12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0"/>
        <v>19000</v>
      </c>
      <c r="X41" s="32">
        <f t="shared" si="9"/>
        <v>31217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-12217</v>
      </c>
      <c r="M42" s="29"/>
      <c r="N42" s="799"/>
      <c r="O42" s="30">
        <f t="shared" si="11"/>
        <v>0</v>
      </c>
      <c r="P42" s="802"/>
      <c r="Q42" s="31">
        <f t="shared" si="12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0"/>
        <v>19000</v>
      </c>
      <c r="X42" s="32">
        <f t="shared" si="9"/>
        <v>31217</v>
      </c>
      <c r="Y42" s="74" t="s">
        <v>96</v>
      </c>
      <c r="Z42" s="75">
        <v>35500</v>
      </c>
      <c r="AA42" s="129">
        <f>+H7+H8+H17+H18+H19+H22+H32+H33+H43+H44+H45+H53</f>
        <v>29150</v>
      </c>
      <c r="AB42" s="129">
        <f>+I7+I8+I17+I18+I19+I22+I32+I33+I43+I44+I45+I53</f>
        <v>6850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-12217</v>
      </c>
      <c r="M43" s="29"/>
      <c r="N43" s="799"/>
      <c r="O43" s="30">
        <f t="shared" si="11"/>
        <v>0</v>
      </c>
      <c r="P43" s="802"/>
      <c r="Q43" s="31">
        <f t="shared" si="12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0"/>
        <v>19000</v>
      </c>
      <c r="X43" s="32">
        <f t="shared" si="9"/>
        <v>31217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-12217</v>
      </c>
      <c r="M44" s="29"/>
      <c r="N44" s="799"/>
      <c r="O44" s="30">
        <f t="shared" si="11"/>
        <v>0</v>
      </c>
      <c r="P44" s="802"/>
      <c r="Q44" s="31">
        <f t="shared" si="12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0"/>
        <v>19000</v>
      </c>
      <c r="X44" s="32">
        <f t="shared" si="9"/>
        <v>31217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-12217</v>
      </c>
      <c r="M45" s="29"/>
      <c r="N45" s="799"/>
      <c r="O45" s="30">
        <f t="shared" si="11"/>
        <v>0</v>
      </c>
      <c r="P45" s="802"/>
      <c r="Q45" s="31">
        <f t="shared" si="12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0"/>
        <v>19000</v>
      </c>
      <c r="X45" s="32">
        <f t="shared" si="9"/>
        <v>31217</v>
      </c>
      <c r="Y45" s="131" t="s">
        <v>98</v>
      </c>
      <c r="Z45" s="132">
        <v>9600</v>
      </c>
      <c r="AA45" s="133">
        <f>+H12+H13+H37+H38</f>
        <v>9600</v>
      </c>
      <c r="AB45" s="133">
        <f>+I12+I13+I37+I38</f>
        <v>0</v>
      </c>
      <c r="AC45" s="133">
        <f>+AA45+AB45</f>
        <v>9600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612">
        <v>10000</v>
      </c>
      <c r="I46" s="26"/>
      <c r="J46" s="26"/>
      <c r="K46" s="27">
        <f t="shared" si="0"/>
        <v>10000</v>
      </c>
      <c r="L46" s="28">
        <f>+L45-K46</f>
        <v>-22217</v>
      </c>
      <c r="M46" s="29"/>
      <c r="N46" s="799"/>
      <c r="O46" s="30">
        <f t="shared" si="11"/>
        <v>1</v>
      </c>
      <c r="P46" s="802"/>
      <c r="Q46" s="31">
        <f t="shared" si="12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10"/>
        <v>9000</v>
      </c>
      <c r="X46" s="32">
        <f t="shared" si="9"/>
        <v>31217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-22217</v>
      </c>
      <c r="M47" s="29"/>
      <c r="N47" s="799"/>
      <c r="O47" s="30">
        <f t="shared" si="11"/>
        <v>0</v>
      </c>
      <c r="P47" s="802"/>
      <c r="Q47" s="31">
        <f t="shared" si="12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0"/>
        <v>9000</v>
      </c>
      <c r="X47" s="32">
        <f t="shared" si="9"/>
        <v>31217</v>
      </c>
      <c r="Y47" s="57">
        <v>20000</v>
      </c>
      <c r="Z47" s="89">
        <v>4586</v>
      </c>
      <c r="AA47" s="35"/>
      <c r="AB47" s="57">
        <f>57000-AA60</f>
        <v>18657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-22217</v>
      </c>
      <c r="M48" s="136"/>
      <c r="N48" s="799"/>
      <c r="O48" s="137"/>
      <c r="P48" s="802"/>
      <c r="Q48" s="31">
        <f t="shared" si="12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0"/>
        <v>9000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-22217</v>
      </c>
      <c r="M49" s="86"/>
      <c r="N49" s="800"/>
      <c r="O49" s="87">
        <f t="shared" si="11"/>
        <v>0</v>
      </c>
      <c r="P49" s="803"/>
      <c r="Q49" s="144">
        <f t="shared" si="12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0"/>
        <v>9000</v>
      </c>
      <c r="X49" s="32">
        <f t="shared" si="9"/>
        <v>31217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-22217</v>
      </c>
      <c r="M50" s="95"/>
      <c r="N50" s="804">
        <f>SUM(K50:K55)</f>
        <v>9000</v>
      </c>
      <c r="O50" s="96">
        <f t="shared" si="11"/>
        <v>0</v>
      </c>
      <c r="P50" s="805"/>
      <c r="Q50" s="138">
        <f t="shared" si="12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0"/>
        <v>9000</v>
      </c>
      <c r="X50" s="32">
        <f t="shared" si="9"/>
        <v>31217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26"/>
      <c r="J51" s="611"/>
      <c r="K51" s="27">
        <f t="shared" si="0"/>
        <v>0</v>
      </c>
      <c r="L51" s="28">
        <f t="shared" si="1"/>
        <v>-22217</v>
      </c>
      <c r="M51" s="234"/>
      <c r="N51" s="799"/>
      <c r="O51" s="184"/>
      <c r="P51" s="802"/>
      <c r="Q51" s="31"/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10"/>
        <v>9000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-22217</v>
      </c>
      <c r="M52" s="234"/>
      <c r="N52" s="799"/>
      <c r="O52" s="184"/>
      <c r="P52" s="802"/>
      <c r="Q52" s="31">
        <f t="shared" si="12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0"/>
        <v>9000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612">
        <v>2000</v>
      </c>
      <c r="I53" s="26"/>
      <c r="J53" s="26"/>
      <c r="K53" s="27">
        <f t="shared" si="0"/>
        <v>2000</v>
      </c>
      <c r="L53" s="28">
        <f>+L52-K53</f>
        <v>-24217</v>
      </c>
      <c r="M53" s="29"/>
      <c r="N53" s="799"/>
      <c r="O53" s="30">
        <f t="shared" si="11"/>
        <v>0.2</v>
      </c>
      <c r="P53" s="802"/>
      <c r="Q53" s="97">
        <f t="shared" si="12"/>
        <v>0</v>
      </c>
      <c r="R53" s="31"/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10"/>
        <v>7000</v>
      </c>
      <c r="X53" s="32">
        <f t="shared" si="9"/>
        <v>31217</v>
      </c>
      <c r="Y53" s="80">
        <f>+Y52-15000</f>
        <v>-2513.5</v>
      </c>
      <c r="Z53" s="49">
        <f>+Z60-43000</f>
        <v>-39817</v>
      </c>
      <c r="AD53" s="322"/>
      <c r="AE53" s="153"/>
      <c r="AH53" s="19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-24217</v>
      </c>
      <c r="M54" s="29"/>
      <c r="N54" s="799"/>
      <c r="O54" s="30">
        <f t="shared" si="11"/>
        <v>0</v>
      </c>
      <c r="P54" s="802"/>
      <c r="Q54" s="97">
        <f t="shared" si="12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0"/>
        <v>7000</v>
      </c>
      <c r="X54" s="32">
        <f t="shared" si="9"/>
        <v>31217</v>
      </c>
      <c r="Y54" s="158"/>
      <c r="Z54" s="159"/>
      <c r="AA54" s="160"/>
      <c r="AB54" s="158"/>
      <c r="AC54" s="160"/>
      <c r="AD54" s="161"/>
      <c r="AE54" s="153"/>
      <c r="AH54" s="53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612">
        <v>7000</v>
      </c>
      <c r="J55" s="143"/>
      <c r="K55" s="27">
        <f t="shared" si="0"/>
        <v>7000</v>
      </c>
      <c r="L55" s="423">
        <f t="shared" si="1"/>
        <v>-31217</v>
      </c>
      <c r="M55" s="86"/>
      <c r="N55" s="800"/>
      <c r="O55" s="87">
        <f t="shared" si="11"/>
        <v>0.7</v>
      </c>
      <c r="P55" s="803"/>
      <c r="Q55" s="97">
        <f t="shared" si="12"/>
        <v>0</v>
      </c>
      <c r="R55" s="31"/>
      <c r="S55" s="423">
        <f t="shared" si="4"/>
        <v>0</v>
      </c>
      <c r="T55" s="28">
        <f>IF(I55&lt;&gt;0,+I55+Q55+R55,0)</f>
        <v>7000</v>
      </c>
      <c r="U55" s="423">
        <f t="shared" si="6"/>
        <v>0</v>
      </c>
      <c r="V55" s="423">
        <f>+S55+T55+U55</f>
        <v>7000</v>
      </c>
      <c r="W55" s="31">
        <f t="shared" si="10"/>
        <v>0</v>
      </c>
      <c r="X55" s="119">
        <f t="shared" si="9"/>
        <v>31217</v>
      </c>
      <c r="Y55" s="807">
        <f>Z8</f>
        <v>41922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-31217</v>
      </c>
      <c r="M56" s="804"/>
      <c r="N56" s="804">
        <f>SUM(K56:K80)</f>
        <v>0</v>
      </c>
      <c r="O56" s="96">
        <f t="shared" si="11"/>
        <v>0</v>
      </c>
      <c r="P56" s="172"/>
      <c r="Q56" s="157">
        <f t="shared" si="12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0"/>
        <v>0</v>
      </c>
      <c r="X56" s="119">
        <f t="shared" si="9"/>
        <v>31217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-31217</v>
      </c>
      <c r="M57" s="800"/>
      <c r="N57" s="800"/>
      <c r="O57" s="87" t="e">
        <f t="shared" ref="O57:O80" si="13">+K57/$N$56</f>
        <v>#DIV/0!</v>
      </c>
      <c r="P57" s="328"/>
      <c r="Q57" s="448">
        <f t="shared" si="12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0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-31217</v>
      </c>
      <c r="M58" s="148"/>
      <c r="N58" s="148"/>
      <c r="O58" s="184" t="e">
        <f t="shared" si="13"/>
        <v>#DIV/0!</v>
      </c>
      <c r="P58" s="171"/>
      <c r="Q58" s="97">
        <f t="shared" ref="Q58:Q81" si="14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0"/>
        <v>0</v>
      </c>
      <c r="X58" s="408"/>
      <c r="Y58" s="180" t="s">
        <v>7</v>
      </c>
      <c r="Z58" s="181">
        <f>+AB4</f>
        <v>39607</v>
      </c>
      <c r="AA58" s="182">
        <f>+AB3</f>
        <v>56844</v>
      </c>
      <c r="AB58" s="182">
        <f>Z12</f>
        <v>0</v>
      </c>
      <c r="AC58" s="181">
        <f>AB10</f>
        <v>0</v>
      </c>
      <c r="AD58" s="661">
        <f>SUM(Z58:AC58)</f>
        <v>96451</v>
      </c>
      <c r="AE58" s="185"/>
      <c r="AF58" s="660"/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-31217</v>
      </c>
      <c r="M59" s="148"/>
      <c r="N59" s="148"/>
      <c r="O59" s="30" t="e">
        <f t="shared" si="13"/>
        <v>#DIV/0!</v>
      </c>
      <c r="P59" s="171"/>
      <c r="Q59" s="31">
        <f t="shared" si="14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0"/>
        <v>0</v>
      </c>
      <c r="X59" s="408"/>
      <c r="Y59" s="180" t="s">
        <v>17</v>
      </c>
      <c r="Z59" s="182">
        <f>+AC4</f>
        <v>168097</v>
      </c>
      <c r="AA59" s="182">
        <f>AC3</f>
        <v>184304</v>
      </c>
      <c r="AB59" s="182">
        <f>Z11</f>
        <v>0</v>
      </c>
      <c r="AC59" s="181">
        <v>0</v>
      </c>
      <c r="AD59" s="661">
        <f>SUM(Z59:AC59)</f>
        <v>352401</v>
      </c>
      <c r="AE59" s="185"/>
      <c r="AF59" s="51"/>
      <c r="AG59" s="51"/>
      <c r="AH59" s="51"/>
      <c r="AI59" s="51"/>
      <c r="AJ59" s="50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-31217</v>
      </c>
      <c r="M60" s="148"/>
      <c r="N60" s="148"/>
      <c r="O60" s="30" t="e">
        <f t="shared" si="13"/>
        <v>#DIV/0!</v>
      </c>
      <c r="P60" s="171"/>
      <c r="Q60" s="31">
        <f t="shared" si="14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0"/>
        <v>0</v>
      </c>
      <c r="X60" s="408"/>
      <c r="Y60" s="180" t="s">
        <v>112</v>
      </c>
      <c r="Z60" s="181">
        <f>+AD4+AH11</f>
        <v>3183</v>
      </c>
      <c r="AA60" s="182">
        <f>+AD3+AH10</f>
        <v>38343</v>
      </c>
      <c r="AB60" s="191">
        <v>0</v>
      </c>
      <c r="AC60" s="181">
        <v>0</v>
      </c>
      <c r="AD60" s="662">
        <f>SUM(Z60:AC60)</f>
        <v>41526</v>
      </c>
      <c r="AE60" s="185"/>
      <c r="AF60" s="53"/>
      <c r="AG60" s="20"/>
      <c r="AH60" s="50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-31217</v>
      </c>
      <c r="M61" s="148"/>
      <c r="N61" s="148"/>
      <c r="O61" s="30" t="e">
        <f t="shared" si="13"/>
        <v>#DIV/0!</v>
      </c>
      <c r="P61" s="171"/>
      <c r="Q61" s="31">
        <f t="shared" si="14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0"/>
        <v>0</v>
      </c>
      <c r="X61" s="408"/>
      <c r="Y61" s="193" t="s">
        <v>113</v>
      </c>
      <c r="Z61" s="194">
        <f>SUM(Z58:Z60)</f>
        <v>210887</v>
      </c>
      <c r="AA61" s="194">
        <f>SUM(AA58:AA60)</f>
        <v>279491</v>
      </c>
      <c r="AB61" s="194">
        <f>SUM(AB58:AB60)</f>
        <v>0</v>
      </c>
      <c r="AC61" s="194">
        <f>AB10</f>
        <v>0</v>
      </c>
      <c r="AD61" s="195">
        <f>SUM(AD58:AD60)</f>
        <v>490378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-31217</v>
      </c>
      <c r="M62" s="148"/>
      <c r="N62" s="148"/>
      <c r="O62" s="30" t="e">
        <f t="shared" si="13"/>
        <v>#DIV/0!</v>
      </c>
      <c r="P62" s="171"/>
      <c r="Q62" s="31">
        <f t="shared" si="14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0"/>
        <v>0</v>
      </c>
      <c r="X62" s="408"/>
      <c r="Y62" s="199" t="s">
        <v>114</v>
      </c>
      <c r="Z62" s="200">
        <f>(Z58/$Z$28+(Z59/$Z$27)+(Z60/$Z$29))</f>
        <v>211469.53849908058</v>
      </c>
      <c r="AA62" s="200">
        <f>(AA58/$Z$28+(AA59/$Z$27)+(AA60/$Z$29))</f>
        <v>280267.53145026357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491737.06994934409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-31217</v>
      </c>
      <c r="M63" s="148"/>
      <c r="N63" s="148"/>
      <c r="O63" s="30" t="e">
        <f t="shared" si="13"/>
        <v>#DIV/0!</v>
      </c>
      <c r="P63" s="171"/>
      <c r="Q63" s="31">
        <f t="shared" si="14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0"/>
        <v>0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-31217</v>
      </c>
      <c r="M64" s="148"/>
      <c r="N64" s="148"/>
      <c r="O64" s="30" t="e">
        <f t="shared" si="13"/>
        <v>#DIV/0!</v>
      </c>
      <c r="P64" s="171"/>
      <c r="Q64" s="31">
        <f t="shared" si="14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0"/>
        <v>0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-31217</v>
      </c>
      <c r="M65" s="148"/>
      <c r="N65" s="148"/>
      <c r="O65" s="30" t="e">
        <f t="shared" si="13"/>
        <v>#DIV/0!</v>
      </c>
      <c r="P65" s="171"/>
      <c r="Q65" s="31">
        <f t="shared" si="14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0"/>
        <v>0</v>
      </c>
      <c r="X65" s="408"/>
      <c r="Y65" s="371" t="s">
        <v>115</v>
      </c>
      <c r="Z65" s="484"/>
      <c r="AA65" s="203">
        <v>117438.00942000002</v>
      </c>
      <c r="AB65" s="204"/>
      <c r="AC65" s="204"/>
      <c r="AD65" s="205"/>
      <c r="AE65" s="32"/>
      <c r="AF65" s="53"/>
      <c r="AI65" s="103"/>
      <c r="AJ65" s="103"/>
      <c r="AK65" s="13"/>
      <c r="AL65" s="373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-31217</v>
      </c>
      <c r="M66" s="148"/>
      <c r="N66" s="148"/>
      <c r="O66" s="30" t="e">
        <f t="shared" si="13"/>
        <v>#DIV/0!</v>
      </c>
      <c r="P66" s="171"/>
      <c r="Q66" s="31">
        <f t="shared" si="14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0"/>
        <v>0</v>
      </c>
      <c r="X66" s="408"/>
      <c r="Y66" s="814" t="s">
        <v>116</v>
      </c>
      <c r="Z66" s="815"/>
      <c r="AA66" s="203">
        <v>27107.379970000002</v>
      </c>
      <c r="AB66" s="208"/>
      <c r="AC66" s="208"/>
      <c r="AD66" s="209"/>
      <c r="AE66" s="13"/>
      <c r="AF66" s="53"/>
      <c r="AI66" s="103"/>
      <c r="AJ66" s="103"/>
      <c r="AK66" s="213"/>
      <c r="AL66" s="374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5">+L66-K67</f>
        <v>-31217</v>
      </c>
      <c r="M67" s="148"/>
      <c r="N67" s="148"/>
      <c r="O67" s="30" t="e">
        <f t="shared" si="13"/>
        <v>#DIV/0!</v>
      </c>
      <c r="P67" s="171"/>
      <c r="Q67" s="31">
        <f t="shared" si="14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0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L67" s="1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5"/>
        <v>-31217</v>
      </c>
      <c r="M68" s="148"/>
      <c r="N68" s="148"/>
      <c r="O68" s="30" t="e">
        <f t="shared" si="13"/>
        <v>#DIV/0!</v>
      </c>
      <c r="P68" s="171"/>
      <c r="Q68" s="31">
        <f t="shared" si="14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0"/>
        <v>0</v>
      </c>
      <c r="X68" s="211"/>
      <c r="Y68" s="814" t="s">
        <v>188</v>
      </c>
      <c r="Z68" s="815"/>
      <c r="AA68" s="207">
        <f>Z9*Z30+AC61</f>
        <v>490435.7890520349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5"/>
        <v>-31217</v>
      </c>
      <c r="M69" s="148"/>
      <c r="N69" s="148"/>
      <c r="O69" s="30" t="e">
        <f t="shared" si="13"/>
        <v>#DIV/0!</v>
      </c>
      <c r="P69" s="171"/>
      <c r="Q69" s="31">
        <f t="shared" si="14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0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5"/>
        <v>-31217</v>
      </c>
      <c r="M70" s="148"/>
      <c r="N70" s="148"/>
      <c r="O70" s="30" t="e">
        <f t="shared" si="13"/>
        <v>#DIV/0!</v>
      </c>
      <c r="P70" s="171"/>
      <c r="Q70" s="31">
        <f t="shared" si="14"/>
        <v>0</v>
      </c>
      <c r="R70" s="31"/>
      <c r="S70" s="28">
        <f t="shared" ref="S70:S103" si="16">IF(H70&lt;&gt;0,+H70+Q70+R70,0)</f>
        <v>0</v>
      </c>
      <c r="T70" s="28">
        <f>IF(I70&lt;&gt;0,+I70+Q70+R70,0)</f>
        <v>0</v>
      </c>
      <c r="U70" s="28">
        <f t="shared" ref="U70:U103" si="17">IF(J70&lt;&gt;0,+J70+Q70+R70,0)</f>
        <v>0</v>
      </c>
      <c r="V70" s="28">
        <f t="shared" ref="V70:V103" si="18">+S70+T70+U70</f>
        <v>0</v>
      </c>
      <c r="W70" s="31">
        <f t="shared" si="10"/>
        <v>0</v>
      </c>
      <c r="X70" s="211"/>
      <c r="Y70" s="213"/>
      <c r="Z70" s="232">
        <f>+Z61-2200</f>
        <v>208687</v>
      </c>
      <c r="AA70" s="213"/>
      <c r="AB70" s="213"/>
      <c r="AC70" s="213"/>
      <c r="AD70" s="233">
        <v>491197</v>
      </c>
      <c r="AE70" s="233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5"/>
        <v>-31217</v>
      </c>
      <c r="M71" s="148"/>
      <c r="N71" s="148"/>
      <c r="O71" s="30" t="e">
        <f t="shared" si="13"/>
        <v>#DIV/0!</v>
      </c>
      <c r="P71" s="171"/>
      <c r="Q71" s="31">
        <f t="shared" si="14"/>
        <v>0</v>
      </c>
      <c r="R71" s="31"/>
      <c r="S71" s="28">
        <f t="shared" si="16"/>
        <v>0</v>
      </c>
      <c r="T71" s="28">
        <f t="shared" ref="T71:T103" si="19">IF(I71&lt;&gt;0,+I71+Q71+R71,0)</f>
        <v>0</v>
      </c>
      <c r="U71" s="28">
        <f t="shared" si="17"/>
        <v>0</v>
      </c>
      <c r="V71" s="28">
        <f t="shared" si="18"/>
        <v>0</v>
      </c>
      <c r="W71" s="31">
        <f t="shared" si="10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5"/>
        <v>-31217</v>
      </c>
      <c r="M72" s="148"/>
      <c r="N72" s="148"/>
      <c r="O72" s="30" t="e">
        <f t="shared" si="13"/>
        <v>#DIV/0!</v>
      </c>
      <c r="P72" s="171"/>
      <c r="Q72" s="31">
        <f t="shared" si="14"/>
        <v>0</v>
      </c>
      <c r="R72" s="31"/>
      <c r="S72" s="28">
        <f t="shared" si="16"/>
        <v>0</v>
      </c>
      <c r="T72" s="28">
        <f t="shared" si="19"/>
        <v>0</v>
      </c>
      <c r="U72" s="28">
        <f t="shared" si="17"/>
        <v>0</v>
      </c>
      <c r="V72" s="28">
        <f t="shared" si="18"/>
        <v>0</v>
      </c>
      <c r="W72" s="31">
        <f t="shared" si="10"/>
        <v>0</v>
      </c>
      <c r="X72" s="211"/>
      <c r="Y72" s="214" t="s">
        <v>47</v>
      </c>
      <c r="Z72" s="215">
        <f>Z8</f>
        <v>41922</v>
      </c>
      <c r="AA72" s="818" t="s">
        <v>118</v>
      </c>
      <c r="AB72" s="818"/>
      <c r="AC72" s="818"/>
      <c r="AD72" s="216">
        <v>11.5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12.5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5"/>
        <v>-31217</v>
      </c>
      <c r="M73" s="148"/>
      <c r="N73" s="148"/>
      <c r="O73" s="30" t="e">
        <f t="shared" si="13"/>
        <v>#DIV/0!</v>
      </c>
      <c r="P73" s="171"/>
      <c r="Q73" s="31">
        <f t="shared" si="14"/>
        <v>0</v>
      </c>
      <c r="R73" s="31"/>
      <c r="S73" s="28">
        <f t="shared" si="16"/>
        <v>0</v>
      </c>
      <c r="T73" s="28">
        <f t="shared" si="19"/>
        <v>0</v>
      </c>
      <c r="U73" s="28">
        <f t="shared" si="17"/>
        <v>0</v>
      </c>
      <c r="V73" s="28">
        <f t="shared" si="18"/>
        <v>0</v>
      </c>
      <c r="W73" s="31">
        <f t="shared" si="10"/>
        <v>0</v>
      </c>
      <c r="X73" s="211"/>
      <c r="Y73" s="214" t="s">
        <v>119</v>
      </c>
      <c r="Z73" s="480">
        <f>AD72</f>
        <v>11.5</v>
      </c>
      <c r="AA73" s="637" t="s">
        <v>120</v>
      </c>
      <c r="AB73" s="637"/>
      <c r="AC73" s="637"/>
      <c r="AD73" s="219">
        <f>24-AD72</f>
        <v>12.5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41280</v>
      </c>
      <c r="AO73" s="373">
        <f>AN73*AM72/24</f>
        <v>21500</v>
      </c>
      <c r="AP73" s="19">
        <f>21500*AD72/24</f>
        <v>10302.083333333334</v>
      </c>
      <c r="AQ73" s="19">
        <f>21500-AP73</f>
        <v>11197.916666666666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0">SUM(H74:J74)</f>
        <v>0</v>
      </c>
      <c r="L74" s="28">
        <f t="shared" si="15"/>
        <v>-31217</v>
      </c>
      <c r="M74" s="148"/>
      <c r="N74" s="148"/>
      <c r="O74" s="30" t="e">
        <f t="shared" si="13"/>
        <v>#DIV/0!</v>
      </c>
      <c r="P74" s="171"/>
      <c r="Q74" s="31">
        <f t="shared" si="14"/>
        <v>0</v>
      </c>
      <c r="R74" s="31"/>
      <c r="S74" s="28">
        <f t="shared" si="16"/>
        <v>0</v>
      </c>
      <c r="T74" s="28">
        <f t="shared" si="19"/>
        <v>0</v>
      </c>
      <c r="U74" s="28">
        <f t="shared" si="17"/>
        <v>0</v>
      </c>
      <c r="V74" s="28">
        <f t="shared" si="18"/>
        <v>0</v>
      </c>
      <c r="W74" s="31">
        <f t="shared" si="10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638" t="s">
        <v>127</v>
      </c>
      <c r="AK74" s="819"/>
      <c r="AL74" s="819"/>
      <c r="AM74" s="20" t="s">
        <v>232</v>
      </c>
      <c r="AN74" s="19">
        <f>Z79-AN73</f>
        <v>292003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0"/>
        <v>0</v>
      </c>
      <c r="L75" s="28">
        <f t="shared" si="15"/>
        <v>-31217</v>
      </c>
      <c r="M75" s="148"/>
      <c r="N75" s="148"/>
      <c r="O75" s="30" t="e">
        <f t="shared" si="13"/>
        <v>#DIV/0!</v>
      </c>
      <c r="P75" s="171"/>
      <c r="Q75" s="31">
        <f t="shared" si="14"/>
        <v>0</v>
      </c>
      <c r="R75" s="31"/>
      <c r="S75" s="28">
        <f t="shared" si="16"/>
        <v>0</v>
      </c>
      <c r="T75" s="28">
        <f t="shared" si="19"/>
        <v>0</v>
      </c>
      <c r="U75" s="28">
        <f t="shared" si="17"/>
        <v>0</v>
      </c>
      <c r="V75" s="28">
        <f t="shared" si="18"/>
        <v>0</v>
      </c>
      <c r="W75" s="31">
        <f t="shared" si="10"/>
        <v>0</v>
      </c>
      <c r="X75" s="211"/>
      <c r="Y75" s="638" t="s">
        <v>121</v>
      </c>
      <c r="Z75" s="638" t="s">
        <v>122</v>
      </c>
      <c r="AA75" s="638" t="s">
        <v>123</v>
      </c>
      <c r="AB75" s="820" t="s">
        <v>124</v>
      </c>
      <c r="AC75" s="821"/>
      <c r="AD75" s="822"/>
      <c r="AE75" s="638" t="s">
        <v>125</v>
      </c>
      <c r="AF75" s="638" t="s">
        <v>126</v>
      </c>
      <c r="AG75" s="149"/>
      <c r="AH75" s="638" t="s">
        <v>121</v>
      </c>
      <c r="AI75" s="638"/>
      <c r="AJ75" s="214" t="s">
        <v>7</v>
      </c>
      <c r="AK75" s="236">
        <f>((+AD78-AA78)/$AD$73)*24</f>
        <v>109392</v>
      </c>
      <c r="AL75" s="236">
        <f>AK75</f>
        <v>109392</v>
      </c>
      <c r="AM75" s="20" t="s">
        <v>7</v>
      </c>
      <c r="AN75" s="19">
        <f>AD58</f>
        <v>96451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0"/>
        <v>0</v>
      </c>
      <c r="L76" s="28">
        <f t="shared" si="15"/>
        <v>-31217</v>
      </c>
      <c r="M76" s="148"/>
      <c r="N76" s="148"/>
      <c r="O76" s="30" t="e">
        <f t="shared" si="13"/>
        <v>#DIV/0!</v>
      </c>
      <c r="P76" s="171"/>
      <c r="Q76" s="31">
        <f t="shared" si="14"/>
        <v>0</v>
      </c>
      <c r="R76" s="31"/>
      <c r="S76" s="28">
        <f t="shared" si="16"/>
        <v>0</v>
      </c>
      <c r="T76" s="28">
        <f t="shared" si="19"/>
        <v>0</v>
      </c>
      <c r="U76" s="28">
        <f t="shared" si="17"/>
        <v>0</v>
      </c>
      <c r="V76" s="28">
        <f t="shared" si="18"/>
        <v>0</v>
      </c>
      <c r="W76" s="31">
        <f t="shared" si="10"/>
        <v>0</v>
      </c>
      <c r="X76" s="211"/>
      <c r="Y76" s="638"/>
      <c r="Z76" s="638"/>
      <c r="AA76" s="638"/>
      <c r="AB76" s="638"/>
      <c r="AC76" s="638"/>
      <c r="AD76" s="638"/>
      <c r="AE76" s="638"/>
      <c r="AF76" s="638"/>
      <c r="AG76" s="149"/>
      <c r="AH76" s="638"/>
      <c r="AI76" s="638"/>
      <c r="AJ76" s="214" t="s">
        <v>6</v>
      </c>
      <c r="AK76" s="236">
        <f>((+AD79-AA79)/$AD$73)*24</f>
        <v>372802.56</v>
      </c>
      <c r="AL76" s="236">
        <f>+AK76</f>
        <v>372802.56</v>
      </c>
      <c r="AM76" s="464"/>
      <c r="AN76" s="19">
        <f>SUM(AN73:AN75)</f>
        <v>429734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0"/>
        <v>0</v>
      </c>
      <c r="L77" s="28">
        <f t="shared" si="15"/>
        <v>-31217</v>
      </c>
      <c r="M77" s="148"/>
      <c r="N77" s="148"/>
      <c r="O77" s="30" t="e">
        <f t="shared" si="13"/>
        <v>#DIV/0!</v>
      </c>
      <c r="P77" s="171"/>
      <c r="Q77" s="31">
        <f t="shared" si="14"/>
        <v>0</v>
      </c>
      <c r="R77" s="31"/>
      <c r="S77" s="28">
        <f t="shared" si="16"/>
        <v>0</v>
      </c>
      <c r="T77" s="28">
        <f t="shared" si="19"/>
        <v>0</v>
      </c>
      <c r="U77" s="28">
        <f t="shared" si="17"/>
        <v>0</v>
      </c>
      <c r="V77" s="28">
        <f t="shared" si="18"/>
        <v>0</v>
      </c>
      <c r="W77" s="31">
        <f t="shared" si="10"/>
        <v>0</v>
      </c>
      <c r="X77" s="211"/>
      <c r="Y77" s="638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638"/>
      <c r="AI77" s="78"/>
      <c r="AJ77" s="214" t="s">
        <v>8</v>
      </c>
      <c r="AK77" s="236">
        <f>((+AD80-AA80)/$AD$73)*24</f>
        <v>16857.599999999999</v>
      </c>
      <c r="AL77" s="236">
        <f>AK77</f>
        <v>16857.599999999999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0"/>
        <v>0</v>
      </c>
      <c r="L78" s="28">
        <f t="shared" si="15"/>
        <v>-31217</v>
      </c>
      <c r="M78" s="148"/>
      <c r="N78" s="148"/>
      <c r="O78" s="30" t="e">
        <f t="shared" si="13"/>
        <v>#DIV/0!</v>
      </c>
      <c r="P78" s="171"/>
      <c r="Q78" s="31">
        <f t="shared" si="14"/>
        <v>0</v>
      </c>
      <c r="R78" s="31"/>
      <c r="S78" s="28">
        <f t="shared" si="16"/>
        <v>0</v>
      </c>
      <c r="T78" s="28">
        <f t="shared" si="19"/>
        <v>0</v>
      </c>
      <c r="U78" s="28">
        <f t="shared" si="17"/>
        <v>0</v>
      </c>
      <c r="V78" s="28">
        <f t="shared" si="18"/>
        <v>0</v>
      </c>
      <c r="W78" s="31">
        <f t="shared" si="10"/>
        <v>0</v>
      </c>
      <c r="X78" s="211"/>
      <c r="Y78" s="214" t="s">
        <v>7</v>
      </c>
      <c r="Z78" s="224">
        <v>84952</v>
      </c>
      <c r="AA78" s="225">
        <v>39476</v>
      </c>
      <c r="AB78" s="226">
        <f t="shared" ref="AB78:AC80" si="21">+Z58</f>
        <v>39607</v>
      </c>
      <c r="AC78" s="226">
        <f t="shared" si="21"/>
        <v>56844</v>
      </c>
      <c r="AD78" s="226">
        <f>+AB78+AC78+AB58+AC58</f>
        <v>96451</v>
      </c>
      <c r="AE78" s="519">
        <f>+((AD58/24)*$AD$73)+AA78</f>
        <v>89710.895833333328</v>
      </c>
      <c r="AF78" s="227">
        <f>+AE78-AD78</f>
        <v>-6740.1041666666715</v>
      </c>
      <c r="AG78" s="212"/>
      <c r="AH78" s="214" t="s">
        <v>7</v>
      </c>
      <c r="AI78" s="446">
        <f>+AA78</f>
        <v>39476</v>
      </c>
      <c r="AK78" s="231">
        <f>+SUM(AK75:AK77)</f>
        <v>499052.16</v>
      </c>
      <c r="AL78" s="231">
        <f>+SUM(AL75:AL77)</f>
        <v>499052.16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0"/>
        <v>0</v>
      </c>
      <c r="L79" s="28">
        <f t="shared" si="15"/>
        <v>-31217</v>
      </c>
      <c r="M79" s="148"/>
      <c r="N79" s="148"/>
      <c r="O79" s="30" t="e">
        <f t="shared" si="13"/>
        <v>#DIV/0!</v>
      </c>
      <c r="P79" s="171"/>
      <c r="Q79" s="31">
        <f t="shared" si="14"/>
        <v>0</v>
      </c>
      <c r="R79" s="31"/>
      <c r="S79" s="28">
        <f t="shared" si="16"/>
        <v>0</v>
      </c>
      <c r="T79" s="28">
        <f t="shared" si="19"/>
        <v>0</v>
      </c>
      <c r="U79" s="28">
        <f t="shared" si="17"/>
        <v>0</v>
      </c>
      <c r="V79" s="28">
        <f t="shared" si="18"/>
        <v>0</v>
      </c>
      <c r="W79" s="31">
        <f t="shared" si="10"/>
        <v>0</v>
      </c>
      <c r="X79" s="211"/>
      <c r="Y79" s="214" t="s">
        <v>6</v>
      </c>
      <c r="Z79" s="224">
        <v>333283</v>
      </c>
      <c r="AA79" s="225">
        <v>158233</v>
      </c>
      <c r="AB79" s="226">
        <f t="shared" si="21"/>
        <v>168097</v>
      </c>
      <c r="AC79" s="226">
        <f t="shared" si="21"/>
        <v>184304</v>
      </c>
      <c r="AD79" s="226">
        <f>+AB79+AC79+AB59</f>
        <v>352401</v>
      </c>
      <c r="AE79" s="519">
        <f>+((AD59/24)*$AD$73)+AA79</f>
        <v>341775.1875</v>
      </c>
      <c r="AF79" s="227">
        <f>+AE79-AD79</f>
        <v>-10625.8125</v>
      </c>
      <c r="AG79" s="212"/>
      <c r="AH79" s="214" t="s">
        <v>6</v>
      </c>
      <c r="AI79" s="446">
        <f>+AA79</f>
        <v>158233</v>
      </c>
      <c r="AJ79" s="53"/>
      <c r="AK79" s="481">
        <v>536741</v>
      </c>
      <c r="AL79" s="481">
        <f>AK79-AK78</f>
        <v>37688.840000000026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0"/>
        <v>0</v>
      </c>
      <c r="L80" s="28">
        <f t="shared" si="15"/>
        <v>-31217</v>
      </c>
      <c r="M80" s="148"/>
      <c r="N80" s="234"/>
      <c r="O80" s="30" t="e">
        <f t="shared" si="13"/>
        <v>#DIV/0!</v>
      </c>
      <c r="P80" s="179"/>
      <c r="Q80" s="31">
        <f t="shared" si="14"/>
        <v>0</v>
      </c>
      <c r="R80" s="31"/>
      <c r="S80" s="28">
        <f t="shared" si="16"/>
        <v>0</v>
      </c>
      <c r="T80" s="28">
        <f t="shared" si="19"/>
        <v>0</v>
      </c>
      <c r="U80" s="28">
        <f t="shared" si="17"/>
        <v>0</v>
      </c>
      <c r="V80" s="28">
        <f t="shared" si="18"/>
        <v>0</v>
      </c>
      <c r="W80" s="31">
        <f t="shared" si="10"/>
        <v>0</v>
      </c>
      <c r="X80" s="211"/>
      <c r="Y80" s="214" t="s">
        <v>8</v>
      </c>
      <c r="Z80" s="224">
        <v>72336</v>
      </c>
      <c r="AA80" s="225">
        <v>32746</v>
      </c>
      <c r="AB80" s="226">
        <f t="shared" si="21"/>
        <v>3183</v>
      </c>
      <c r="AC80" s="226">
        <f t="shared" si="21"/>
        <v>38343</v>
      </c>
      <c r="AD80" s="226">
        <f>+AB80+AC80</f>
        <v>41526</v>
      </c>
      <c r="AE80" s="519">
        <f>+((AD60/24)*$AD$73)+AA80</f>
        <v>54374.125</v>
      </c>
      <c r="AF80" s="227">
        <f>+AE80-AD80</f>
        <v>12848.125</v>
      </c>
      <c r="AG80" s="149"/>
      <c r="AH80" s="214" t="s">
        <v>8</v>
      </c>
      <c r="AI80" s="447">
        <f>+AA80</f>
        <v>32746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0"/>
        <v>0</v>
      </c>
      <c r="L81" s="28">
        <f t="shared" si="15"/>
        <v>-31217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4"/>
        <v>0</v>
      </c>
      <c r="R81" s="31"/>
      <c r="S81" s="28">
        <f t="shared" si="16"/>
        <v>0</v>
      </c>
      <c r="T81" s="28">
        <f t="shared" si="19"/>
        <v>0</v>
      </c>
      <c r="U81" s="28">
        <f t="shared" si="17"/>
        <v>0</v>
      </c>
      <c r="V81" s="28">
        <f t="shared" si="18"/>
        <v>0</v>
      </c>
      <c r="W81" s="31">
        <f t="shared" si="10"/>
        <v>0</v>
      </c>
      <c r="X81" s="211"/>
      <c r="Y81" s="228" t="s">
        <v>130</v>
      </c>
      <c r="Z81" s="229">
        <f t="shared" ref="Z81:AE81" si="22">SUM(Z78:Z80)</f>
        <v>490571</v>
      </c>
      <c r="AA81" s="230">
        <f t="shared" si="22"/>
        <v>230455</v>
      </c>
      <c r="AB81" s="229">
        <f t="shared" si="22"/>
        <v>210887</v>
      </c>
      <c r="AC81" s="229">
        <f t="shared" si="22"/>
        <v>279491</v>
      </c>
      <c r="AD81" s="229">
        <f t="shared" si="22"/>
        <v>490378</v>
      </c>
      <c r="AE81" s="229">
        <f t="shared" si="22"/>
        <v>485860.20833333331</v>
      </c>
      <c r="AF81" s="227">
        <f>+SUM(AF78:AF80)</f>
        <v>-4517.7916666666715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0"/>
        <v>0</v>
      </c>
      <c r="L82" s="28">
        <f t="shared" si="15"/>
        <v>-31217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6"/>
        <v>0</v>
      </c>
      <c r="T82" s="28">
        <f t="shared" si="19"/>
        <v>0</v>
      </c>
      <c r="U82" s="28">
        <f t="shared" si="17"/>
        <v>0</v>
      </c>
      <c r="V82" s="28">
        <f t="shared" si="18"/>
        <v>0</v>
      </c>
      <c r="W82" s="31">
        <f t="shared" si="10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0"/>
        <v>0</v>
      </c>
      <c r="L83" s="28">
        <f t="shared" si="15"/>
        <v>-31217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6"/>
        <v>0</v>
      </c>
      <c r="T83" s="28">
        <f t="shared" si="19"/>
        <v>0</v>
      </c>
      <c r="U83" s="28">
        <f t="shared" si="17"/>
        <v>0</v>
      </c>
      <c r="V83" s="28">
        <f t="shared" si="18"/>
        <v>0</v>
      </c>
      <c r="W83" s="31">
        <f t="shared" si="10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0"/>
        <v>0</v>
      </c>
      <c r="L84" s="28">
        <f t="shared" si="15"/>
        <v>-31217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6"/>
        <v>0</v>
      </c>
      <c r="T84" s="28">
        <f t="shared" si="19"/>
        <v>0</v>
      </c>
      <c r="U84" s="28">
        <f t="shared" si="17"/>
        <v>0</v>
      </c>
      <c r="V84" s="28">
        <f t="shared" si="18"/>
        <v>0</v>
      </c>
      <c r="W84" s="31">
        <f t="shared" si="10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0"/>
        <v>0</v>
      </c>
      <c r="L85" s="28">
        <f t="shared" si="15"/>
        <v>-31217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6"/>
        <v>0</v>
      </c>
      <c r="T85" s="28">
        <f t="shared" si="19"/>
        <v>0</v>
      </c>
      <c r="U85" s="28">
        <f t="shared" si="17"/>
        <v>0</v>
      </c>
      <c r="V85" s="28">
        <f t="shared" si="18"/>
        <v>0</v>
      </c>
      <c r="W85" s="31">
        <f t="shared" si="10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0"/>
        <v>0</v>
      </c>
      <c r="L86" s="28">
        <f t="shared" si="15"/>
        <v>-31217</v>
      </c>
      <c r="M86" s="810"/>
      <c r="N86" s="810"/>
      <c r="O86" s="30" t="e">
        <f t="shared" ref="O86:O93" si="23">+K86/$N$85</f>
        <v>#DIV/0!</v>
      </c>
      <c r="P86" s="171"/>
      <c r="Q86" s="31">
        <f t="shared" ref="Q86:Q103" si="24">IF($P$85=0,0,(-($P$85*O86)+K86)-K86)</f>
        <v>0</v>
      </c>
      <c r="R86" s="31"/>
      <c r="S86" s="28">
        <f t="shared" si="16"/>
        <v>0</v>
      </c>
      <c r="T86" s="28">
        <f t="shared" si="19"/>
        <v>0</v>
      </c>
      <c r="U86" s="28">
        <f t="shared" si="17"/>
        <v>0</v>
      </c>
      <c r="V86" s="28">
        <f t="shared" si="18"/>
        <v>0</v>
      </c>
      <c r="W86" s="31">
        <f t="shared" si="10"/>
        <v>0</v>
      </c>
      <c r="Y86" s="14" t="s">
        <v>177</v>
      </c>
      <c r="Z86" s="336" t="s">
        <v>178</v>
      </c>
      <c r="AA86" s="337">
        <f>+AA81</f>
        <v>230455</v>
      </c>
      <c r="AB86" s="337">
        <f>AA87-AA86</f>
        <v>41734.729166666686</v>
      </c>
      <c r="AC86" s="42">
        <f>AB86*24/5.5</f>
        <v>182115.18181818191</v>
      </c>
      <c r="AD86" s="338">
        <f>AC86+353111</f>
        <v>535226.18181818188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0"/>
        <v>0</v>
      </c>
      <c r="L87" s="28">
        <f t="shared" si="15"/>
        <v>-31217</v>
      </c>
      <c r="M87" s="810"/>
      <c r="N87" s="810"/>
      <c r="O87" s="30" t="e">
        <f t="shared" si="23"/>
        <v>#DIV/0!</v>
      </c>
      <c r="P87" s="171"/>
      <c r="Q87" s="31">
        <f t="shared" si="24"/>
        <v>0</v>
      </c>
      <c r="R87" s="31"/>
      <c r="S87" s="28">
        <f t="shared" si="16"/>
        <v>0</v>
      </c>
      <c r="T87" s="28">
        <f t="shared" si="19"/>
        <v>0</v>
      </c>
      <c r="U87" s="28">
        <f t="shared" si="17"/>
        <v>0</v>
      </c>
      <c r="V87" s="28">
        <f t="shared" si="18"/>
        <v>0</v>
      </c>
      <c r="W87" s="31">
        <f t="shared" si="10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122656.00000000001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0"/>
        <v>0</v>
      </c>
      <c r="L88" s="28">
        <f t="shared" si="15"/>
        <v>-31217</v>
      </c>
      <c r="M88" s="810"/>
      <c r="N88" s="810"/>
      <c r="O88" s="30" t="e">
        <f t="shared" si="23"/>
        <v>#DIV/0!</v>
      </c>
      <c r="P88" s="171"/>
      <c r="Q88" s="31">
        <f t="shared" si="24"/>
        <v>0</v>
      </c>
      <c r="R88" s="31"/>
      <c r="S88" s="28">
        <f t="shared" si="16"/>
        <v>0</v>
      </c>
      <c r="T88" s="28">
        <f t="shared" si="19"/>
        <v>0</v>
      </c>
      <c r="U88" s="28">
        <f t="shared" si="17"/>
        <v>0</v>
      </c>
      <c r="V88" s="28">
        <f t="shared" si="18"/>
        <v>0</v>
      </c>
      <c r="W88" s="31">
        <f t="shared" si="10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0"/>
        <v>0</v>
      </c>
      <c r="L89" s="28">
        <f t="shared" si="15"/>
        <v>-31217</v>
      </c>
      <c r="M89" s="810"/>
      <c r="N89" s="810"/>
      <c r="O89" s="30" t="e">
        <f t="shared" si="23"/>
        <v>#DIV/0!</v>
      </c>
      <c r="P89" s="171"/>
      <c r="Q89" s="31">
        <f t="shared" si="24"/>
        <v>0</v>
      </c>
      <c r="R89" s="31"/>
      <c r="S89" s="28">
        <f t="shared" si="16"/>
        <v>0</v>
      </c>
      <c r="T89" s="28">
        <f t="shared" si="19"/>
        <v>0</v>
      </c>
      <c r="U89" s="28">
        <f t="shared" si="17"/>
        <v>0</v>
      </c>
      <c r="V89" s="28">
        <f t="shared" si="18"/>
        <v>0</v>
      </c>
      <c r="W89" s="31">
        <f t="shared" ref="W89:W103" si="25">+W88-V89</f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0"/>
        <v>0</v>
      </c>
      <c r="L90" s="28">
        <f t="shared" si="15"/>
        <v>-31217</v>
      </c>
      <c r="M90" s="810"/>
      <c r="N90" s="810"/>
      <c r="O90" s="30" t="e">
        <f t="shared" si="23"/>
        <v>#DIV/0!</v>
      </c>
      <c r="P90" s="171"/>
      <c r="Q90" s="31">
        <f t="shared" si="24"/>
        <v>0</v>
      </c>
      <c r="R90" s="31"/>
      <c r="S90" s="28">
        <f t="shared" si="16"/>
        <v>0</v>
      </c>
      <c r="T90" s="28">
        <f t="shared" si="19"/>
        <v>0</v>
      </c>
      <c r="U90" s="28">
        <f t="shared" si="17"/>
        <v>0</v>
      </c>
      <c r="V90" s="28">
        <f t="shared" si="18"/>
        <v>0</v>
      </c>
      <c r="W90" s="31">
        <f t="shared" si="25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0"/>
        <v>0</v>
      </c>
      <c r="L91" s="28">
        <f t="shared" si="15"/>
        <v>-31217</v>
      </c>
      <c r="M91" s="810"/>
      <c r="N91" s="810"/>
      <c r="O91" s="30" t="e">
        <f t="shared" si="23"/>
        <v>#DIV/0!</v>
      </c>
      <c r="P91" s="171"/>
      <c r="Q91" s="31">
        <f t="shared" si="24"/>
        <v>0</v>
      </c>
      <c r="R91" s="31"/>
      <c r="S91" s="28">
        <f t="shared" si="16"/>
        <v>0</v>
      </c>
      <c r="T91" s="28">
        <f t="shared" si="19"/>
        <v>0</v>
      </c>
      <c r="U91" s="28">
        <f t="shared" si="17"/>
        <v>0</v>
      </c>
      <c r="V91" s="28">
        <f t="shared" si="18"/>
        <v>0</v>
      </c>
      <c r="W91" s="31">
        <f t="shared" si="25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0"/>
        <v>0</v>
      </c>
      <c r="L92" s="28">
        <f t="shared" si="15"/>
        <v>-31217</v>
      </c>
      <c r="M92" s="810"/>
      <c r="N92" s="810"/>
      <c r="O92" s="30" t="e">
        <f t="shared" si="23"/>
        <v>#DIV/0!</v>
      </c>
      <c r="P92" s="171"/>
      <c r="Q92" s="31">
        <f t="shared" si="24"/>
        <v>0</v>
      </c>
      <c r="R92" s="31"/>
      <c r="S92" s="28">
        <f t="shared" si="16"/>
        <v>0</v>
      </c>
      <c r="T92" s="28">
        <f t="shared" si="19"/>
        <v>0</v>
      </c>
      <c r="U92" s="28">
        <f t="shared" si="17"/>
        <v>0</v>
      </c>
      <c r="V92" s="28">
        <f t="shared" si="18"/>
        <v>0</v>
      </c>
      <c r="W92" s="31">
        <f t="shared" si="25"/>
        <v>0</v>
      </c>
      <c r="Y92" s="882" t="s">
        <v>158</v>
      </c>
      <c r="Z92" s="586" t="s">
        <v>283</v>
      </c>
      <c r="AA92" s="587">
        <f>SUMIF($D$2:$D$57,"domiciliario",$I$2:$I$103)</f>
        <v>29292</v>
      </c>
      <c r="AB92" s="626">
        <f>SUMIF($D$2:$D$57,"domiciliario",$T$2:$T$103)</f>
        <v>29292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0"/>
        <v>0</v>
      </c>
      <c r="L93" s="28">
        <f t="shared" si="15"/>
        <v>-31217</v>
      </c>
      <c r="M93" s="810"/>
      <c r="N93" s="810"/>
      <c r="O93" s="30" t="e">
        <f t="shared" si="23"/>
        <v>#DIV/0!</v>
      </c>
      <c r="P93" s="179"/>
      <c r="Q93" s="31">
        <f t="shared" si="24"/>
        <v>0</v>
      </c>
      <c r="R93" s="31"/>
      <c r="S93" s="28">
        <f t="shared" si="16"/>
        <v>0</v>
      </c>
      <c r="T93" s="28">
        <f t="shared" si="19"/>
        <v>0</v>
      </c>
      <c r="U93" s="28">
        <f t="shared" si="17"/>
        <v>0</v>
      </c>
      <c r="V93" s="28">
        <f t="shared" si="18"/>
        <v>0</v>
      </c>
      <c r="W93" s="31">
        <f t="shared" si="25"/>
        <v>0</v>
      </c>
      <c r="Y93" s="883"/>
      <c r="Z93" s="588" t="s">
        <v>284</v>
      </c>
      <c r="AA93" s="589">
        <f>SUMIF($D$2:$D$57,"industrial",$I$2:$I$103)</f>
        <v>0</v>
      </c>
      <c r="AB93" s="627">
        <f>SUMIF($D$2:$D$57,"industrial",$T$2:$T$103)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0"/>
        <v>0</v>
      </c>
      <c r="L94" s="28">
        <f t="shared" si="15"/>
        <v>-31217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4"/>
        <v>0</v>
      </c>
      <c r="R94" s="31"/>
      <c r="S94" s="28">
        <f t="shared" si="16"/>
        <v>0</v>
      </c>
      <c r="T94" s="28">
        <f t="shared" si="19"/>
        <v>0</v>
      </c>
      <c r="U94" s="28">
        <f t="shared" si="17"/>
        <v>0</v>
      </c>
      <c r="V94" s="28">
        <f t="shared" si="18"/>
        <v>0</v>
      </c>
      <c r="W94" s="31">
        <f t="shared" si="25"/>
        <v>0</v>
      </c>
      <c r="Y94" s="883"/>
      <c r="Z94" s="588" t="s">
        <v>80</v>
      </c>
      <c r="AA94" s="589">
        <f>SUMIF($D$2:$D$57,"gnv",$I$2:$I$103)</f>
        <v>315</v>
      </c>
      <c r="AB94" s="627">
        <f>SUMIF($D$2:$D$57,"gnv",$T$2:$T$103)</f>
        <v>315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0"/>
        <v>0</v>
      </c>
      <c r="L95" s="28">
        <f t="shared" si="15"/>
        <v>-31217</v>
      </c>
      <c r="M95" s="810"/>
      <c r="N95" s="810"/>
      <c r="O95" s="30">
        <f t="shared" ref="O95:O103" si="26">IF($N$94=0,0,+K95/$N$94)</f>
        <v>0</v>
      </c>
      <c r="P95" s="171"/>
      <c r="Q95" s="31">
        <f t="shared" si="24"/>
        <v>0</v>
      </c>
      <c r="R95" s="31"/>
      <c r="S95" s="28">
        <f t="shared" si="16"/>
        <v>0</v>
      </c>
      <c r="T95" s="28">
        <f t="shared" si="19"/>
        <v>0</v>
      </c>
      <c r="U95" s="28">
        <f t="shared" si="17"/>
        <v>0</v>
      </c>
      <c r="V95" s="28">
        <f t="shared" si="18"/>
        <v>0</v>
      </c>
      <c r="W95" s="31">
        <f t="shared" si="25"/>
        <v>0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10000</v>
      </c>
      <c r="AB95" s="627">
        <f>SUMIF($D$2:$D$57,"termico",$T$2:$T$103)+SUMIF($D$2:$D$57,"electrico",$T$2:$T$103)+SUMIF($D$2:$D$57,"térmico",$T$2:$T$103)</f>
        <v>10000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0"/>
        <v>0</v>
      </c>
      <c r="L96" s="28">
        <f t="shared" si="15"/>
        <v>-31217</v>
      </c>
      <c r="M96" s="810"/>
      <c r="N96" s="810"/>
      <c r="O96" s="30">
        <f t="shared" si="26"/>
        <v>0</v>
      </c>
      <c r="P96" s="171"/>
      <c r="Q96" s="31">
        <f t="shared" si="24"/>
        <v>0</v>
      </c>
      <c r="R96" s="31"/>
      <c r="S96" s="28">
        <f t="shared" si="16"/>
        <v>0</v>
      </c>
      <c r="T96" s="28">
        <f t="shared" si="19"/>
        <v>0</v>
      </c>
      <c r="U96" s="28">
        <f t="shared" si="17"/>
        <v>0</v>
      </c>
      <c r="V96" s="28">
        <f t="shared" si="18"/>
        <v>0</v>
      </c>
      <c r="W96" s="31">
        <f t="shared" si="25"/>
        <v>0</v>
      </c>
      <c r="Y96" s="884"/>
      <c r="Z96" s="590" t="s">
        <v>286</v>
      </c>
      <c r="AA96" s="591"/>
      <c r="AB96" s="628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0"/>
        <v>0</v>
      </c>
      <c r="L97" s="28">
        <f t="shared" si="15"/>
        <v>-31217</v>
      </c>
      <c r="M97" s="810"/>
      <c r="N97" s="810"/>
      <c r="O97" s="30">
        <f t="shared" si="26"/>
        <v>0</v>
      </c>
      <c r="P97" s="171"/>
      <c r="Q97" s="31">
        <f t="shared" si="24"/>
        <v>0</v>
      </c>
      <c r="R97" s="31"/>
      <c r="S97" s="28">
        <f t="shared" si="16"/>
        <v>0</v>
      </c>
      <c r="T97" s="28">
        <f t="shared" si="19"/>
        <v>0</v>
      </c>
      <c r="U97" s="28">
        <f t="shared" si="17"/>
        <v>0</v>
      </c>
      <c r="V97" s="28">
        <f t="shared" si="18"/>
        <v>0</v>
      </c>
      <c r="W97" s="31">
        <f t="shared" si="25"/>
        <v>0</v>
      </c>
      <c r="Y97" s="825" t="s">
        <v>154</v>
      </c>
      <c r="Z97" s="489" t="s">
        <v>283</v>
      </c>
      <c r="AA97" s="490">
        <f>SUMIF($D$2:$D$57,"domiciliario",$H$2:$H$103)</f>
        <v>33108</v>
      </c>
      <c r="AB97" s="629">
        <f>SUMIF($D$2:$D$57,"domiciliario",$S$2:$S$103)</f>
        <v>33108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0"/>
        <v>0</v>
      </c>
      <c r="L98" s="28">
        <f t="shared" si="15"/>
        <v>-31217</v>
      </c>
      <c r="M98" s="810"/>
      <c r="N98" s="810"/>
      <c r="O98" s="30">
        <f t="shared" si="26"/>
        <v>0</v>
      </c>
      <c r="P98" s="171"/>
      <c r="Q98" s="31">
        <f t="shared" si="24"/>
        <v>0</v>
      </c>
      <c r="R98" s="31"/>
      <c r="S98" s="28">
        <f t="shared" si="16"/>
        <v>0</v>
      </c>
      <c r="T98" s="28">
        <f t="shared" si="19"/>
        <v>0</v>
      </c>
      <c r="U98" s="28">
        <f t="shared" si="17"/>
        <v>0</v>
      </c>
      <c r="V98" s="28">
        <f t="shared" si="18"/>
        <v>0</v>
      </c>
      <c r="W98" s="31">
        <f t="shared" si="25"/>
        <v>0</v>
      </c>
      <c r="Y98" s="826"/>
      <c r="Z98" s="492" t="s">
        <v>284</v>
      </c>
      <c r="AA98" s="493">
        <f>SUMIF($D$2:$D$57,"industrial",$H$2:$H$103)</f>
        <v>34000</v>
      </c>
      <c r="AB98" s="630">
        <f>SUMIF($D$2:$D$57,"industrial",$S$2:$S$103)</f>
        <v>34000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0"/>
        <v>0</v>
      </c>
      <c r="L99" s="28">
        <f t="shared" si="15"/>
        <v>-31217</v>
      </c>
      <c r="M99" s="810"/>
      <c r="N99" s="810"/>
      <c r="O99" s="30">
        <f t="shared" si="26"/>
        <v>0</v>
      </c>
      <c r="P99" s="171"/>
      <c r="Q99" s="31">
        <f t="shared" si="24"/>
        <v>0</v>
      </c>
      <c r="R99" s="31"/>
      <c r="S99" s="28">
        <f t="shared" si="16"/>
        <v>0</v>
      </c>
      <c r="T99" s="28">
        <f t="shared" si="19"/>
        <v>0</v>
      </c>
      <c r="U99" s="28">
        <f t="shared" si="17"/>
        <v>0</v>
      </c>
      <c r="V99" s="28">
        <f t="shared" si="18"/>
        <v>0</v>
      </c>
      <c r="W99" s="31">
        <f t="shared" si="25"/>
        <v>0</v>
      </c>
      <c r="Y99" s="826"/>
      <c r="Z99" s="492" t="s">
        <v>80</v>
      </c>
      <c r="AA99" s="493">
        <f>SUMIF($D$2:$D$57,"gnv",$H$2:$H$103)</f>
        <v>0</v>
      </c>
      <c r="AB99" s="630">
        <f>SUMIF($D$2:$D$57,"gnv",$S$2:$S$103)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0"/>
        <v>0</v>
      </c>
      <c r="L100" s="28">
        <f t="shared" si="15"/>
        <v>-31217</v>
      </c>
      <c r="M100" s="810"/>
      <c r="N100" s="810"/>
      <c r="O100" s="30">
        <f t="shared" si="26"/>
        <v>0</v>
      </c>
      <c r="P100" s="171"/>
      <c r="Q100" s="31">
        <f t="shared" si="24"/>
        <v>0</v>
      </c>
      <c r="R100" s="31"/>
      <c r="S100" s="28">
        <f t="shared" si="16"/>
        <v>0</v>
      </c>
      <c r="T100" s="28">
        <f t="shared" si="19"/>
        <v>0</v>
      </c>
      <c r="U100" s="28">
        <f t="shared" si="17"/>
        <v>0</v>
      </c>
      <c r="V100" s="28">
        <f t="shared" si="18"/>
        <v>0</v>
      </c>
      <c r="W100" s="31">
        <f t="shared" si="25"/>
        <v>0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100989</v>
      </c>
      <c r="AB100" s="630">
        <f>SUMIF($D$2:$D$57,"termico",$S$2:$S$103)+SUMIF($D$2:$D$57,"electrico",$S$2:$S$103)+SUMIF($D$2:$D$57,"térmico",$S$2:$S$103)</f>
        <v>100989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0"/>
        <v>0</v>
      </c>
      <c r="L101" s="28">
        <f t="shared" si="15"/>
        <v>-31217</v>
      </c>
      <c r="M101" s="810"/>
      <c r="N101" s="810"/>
      <c r="O101" s="30">
        <f t="shared" si="26"/>
        <v>0</v>
      </c>
      <c r="P101" s="171"/>
      <c r="Q101" s="31">
        <f t="shared" si="24"/>
        <v>0</v>
      </c>
      <c r="R101" s="31"/>
      <c r="S101" s="28">
        <f t="shared" si="16"/>
        <v>0</v>
      </c>
      <c r="T101" s="28">
        <f t="shared" si="19"/>
        <v>0</v>
      </c>
      <c r="U101" s="28">
        <f t="shared" si="17"/>
        <v>0</v>
      </c>
      <c r="V101" s="28">
        <f t="shared" si="18"/>
        <v>0</v>
      </c>
      <c r="W101" s="31">
        <f t="shared" si="25"/>
        <v>0</v>
      </c>
      <c r="Y101" s="827"/>
      <c r="Z101" s="592" t="s">
        <v>312</v>
      </c>
      <c r="AA101" s="500"/>
      <c r="AB101" s="631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0"/>
        <v>0</v>
      </c>
      <c r="L102" s="28">
        <f t="shared" si="15"/>
        <v>-31217</v>
      </c>
      <c r="M102" s="810"/>
      <c r="N102" s="810"/>
      <c r="O102" s="30">
        <f t="shared" si="26"/>
        <v>0</v>
      </c>
      <c r="P102" s="171"/>
      <c r="Q102" s="31">
        <f t="shared" si="24"/>
        <v>0</v>
      </c>
      <c r="R102" s="31"/>
      <c r="S102" s="28">
        <f t="shared" si="16"/>
        <v>0</v>
      </c>
      <c r="T102" s="28">
        <f t="shared" si="19"/>
        <v>0</v>
      </c>
      <c r="U102" s="28">
        <f t="shared" si="17"/>
        <v>0</v>
      </c>
      <c r="V102" s="28">
        <f t="shared" si="18"/>
        <v>0</v>
      </c>
      <c r="W102" s="31">
        <f t="shared" si="25"/>
        <v>0</v>
      </c>
      <c r="Y102" s="622" t="s">
        <v>289</v>
      </c>
      <c r="Z102" s="623" t="s">
        <v>289</v>
      </c>
      <c r="AA102" s="624">
        <f>SUMIF($D$2:$D$57,"EXPORTACION",$J$2:$J$103)</f>
        <v>34400</v>
      </c>
      <c r="AB102" s="632">
        <f>SUMIF($D$2:$D$57,"EXPORTACION",$U$2:$U$103)</f>
        <v>3183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0"/>
        <v>0</v>
      </c>
      <c r="L103" s="28">
        <f t="shared" si="15"/>
        <v>-31217</v>
      </c>
      <c r="M103" s="810"/>
      <c r="N103" s="810"/>
      <c r="O103" s="30">
        <f t="shared" si="26"/>
        <v>0</v>
      </c>
      <c r="P103" s="179"/>
      <c r="Q103" s="31">
        <f t="shared" si="24"/>
        <v>0</v>
      </c>
      <c r="R103" s="31"/>
      <c r="S103" s="28">
        <f t="shared" si="16"/>
        <v>0</v>
      </c>
      <c r="T103" s="28">
        <f t="shared" si="19"/>
        <v>0</v>
      </c>
      <c r="U103" s="28">
        <f t="shared" si="17"/>
        <v>0</v>
      </c>
      <c r="V103" s="28">
        <f t="shared" si="18"/>
        <v>0</v>
      </c>
      <c r="W103" s="31">
        <f t="shared" si="25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168097</v>
      </c>
      <c r="I105" s="252">
        <f>+SUM(I2:I103)</f>
        <v>39607</v>
      </c>
      <c r="J105" s="252">
        <f>+SUM(J2:J103)</f>
        <v>34400</v>
      </c>
      <c r="K105" s="252">
        <f>SUM(K2:K103)</f>
        <v>242104</v>
      </c>
      <c r="L105" s="253">
        <f>+L103</f>
        <v>-31217</v>
      </c>
      <c r="M105" s="252">
        <f>SUM(M2:M103)</f>
        <v>0</v>
      </c>
      <c r="N105" s="252">
        <f>SUM(N2:N103)</f>
        <v>242104</v>
      </c>
      <c r="O105" s="252"/>
      <c r="P105" s="252">
        <f>SUM(P2:P103)</f>
        <v>0</v>
      </c>
      <c r="Q105" s="252">
        <f>SUM(Q2:Q103)</f>
        <v>0</v>
      </c>
      <c r="R105" s="252">
        <f>SUM(R2:R103)</f>
        <v>-31217</v>
      </c>
      <c r="S105" s="252">
        <f>SUM(S2:S103)</f>
        <v>168097</v>
      </c>
      <c r="T105" s="252">
        <f>+SUM(T2:T103)</f>
        <v>39607</v>
      </c>
      <c r="U105" s="252">
        <f>SUM(U2:U103)</f>
        <v>3183</v>
      </c>
      <c r="V105" s="252">
        <f>SUM(V2:V103)</f>
        <v>210887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196"/>
      <c r="T156" s="19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</mergeCells>
  <conditionalFormatting sqref="AA78">
    <cfRule type="cellIs" dxfId="134" priority="3" operator="lessThan">
      <formula>$AA$78</formula>
    </cfRule>
    <cfRule type="cellIs" dxfId="133" priority="5" operator="greaterThan">
      <formula>$AE$78</formula>
    </cfRule>
  </conditionalFormatting>
  <conditionalFormatting sqref="AA79">
    <cfRule type="cellIs" dxfId="132" priority="4" operator="greaterThan">
      <formula>$AE$79</formula>
    </cfRule>
  </conditionalFormatting>
  <conditionalFormatting sqref="AA80">
    <cfRule type="cellIs" dxfId="131" priority="2" operator="greaterThan">
      <formula>$AE$79</formula>
    </cfRule>
  </conditionalFormatting>
  <conditionalFormatting sqref="AU4:AU23">
    <cfRule type="cellIs" dxfId="13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43"/>
  <sheetViews>
    <sheetView topLeftCell="A7" workbookViewId="0">
      <selection activeCell="K9" sqref="K9:M16"/>
    </sheetView>
  </sheetViews>
  <sheetFormatPr defaultRowHeight="15" x14ac:dyDescent="0.25"/>
  <cols>
    <col min="1" max="1" width="10.42578125" customWidth="1"/>
    <col min="2" max="2" width="19.140625" customWidth="1"/>
    <col min="3" max="3" width="17.28515625" customWidth="1"/>
    <col min="4" max="7" width="14.7109375" customWidth="1"/>
    <col min="8" max="8" width="23.140625" customWidth="1"/>
    <col min="9" max="9" width="4.140625" customWidth="1"/>
    <col min="10" max="10" width="9.7109375" customWidth="1"/>
    <col min="11" max="12" width="8.5703125" bestFit="1" customWidth="1"/>
    <col min="13" max="13" width="7.42578125" customWidth="1"/>
    <col min="14" max="14" width="7.5703125" bestFit="1" customWidth="1"/>
  </cols>
  <sheetData>
    <row r="1" spans="1:15" x14ac:dyDescent="0.25">
      <c r="A1" s="773"/>
      <c r="B1" s="773"/>
      <c r="C1" s="774" t="s">
        <v>198</v>
      </c>
      <c r="D1" s="775"/>
      <c r="E1" s="775"/>
      <c r="F1" s="775"/>
      <c r="G1" s="775"/>
      <c r="H1" s="775"/>
      <c r="I1" s="775"/>
    </row>
    <row r="2" spans="1:15" x14ac:dyDescent="0.25">
      <c r="A2" s="773"/>
      <c r="B2" s="773"/>
      <c r="C2" s="774" t="s">
        <v>199</v>
      </c>
      <c r="D2" s="775"/>
      <c r="E2" s="775"/>
      <c r="F2" s="775"/>
      <c r="G2" s="775"/>
      <c r="H2" s="775"/>
      <c r="I2" s="775"/>
    </row>
    <row r="3" spans="1:15" x14ac:dyDescent="0.25">
      <c r="A3" s="773"/>
      <c r="B3" s="773"/>
      <c r="C3" s="463"/>
      <c r="D3" s="463"/>
      <c r="E3" s="463"/>
      <c r="F3" s="463"/>
      <c r="G3" s="463"/>
      <c r="H3" s="463"/>
      <c r="I3" s="463"/>
    </row>
    <row r="4" spans="1:15" ht="14.25" customHeight="1" x14ac:dyDescent="0.25">
      <c r="A4" s="776" t="s">
        <v>258</v>
      </c>
      <c r="B4" s="777"/>
      <c r="C4" s="777"/>
      <c r="D4" s="777"/>
      <c r="E4" s="777"/>
      <c r="F4" s="777"/>
      <c r="G4" s="777"/>
      <c r="H4" s="777"/>
      <c r="I4" s="777"/>
    </row>
    <row r="5" spans="1:15" x14ac:dyDescent="0.25">
      <c r="A5" s="778"/>
      <c r="B5" s="779"/>
      <c r="C5" s="779"/>
      <c r="D5" s="779"/>
      <c r="E5" s="779"/>
      <c r="F5" s="779"/>
      <c r="G5" s="779"/>
      <c r="H5" s="779"/>
      <c r="I5" s="779"/>
    </row>
    <row r="6" spans="1:15" ht="15.75" thickBot="1" x14ac:dyDescent="0.3">
      <c r="A6" s="376"/>
      <c r="B6" s="377"/>
      <c r="C6" s="378"/>
      <c r="D6" s="378"/>
      <c r="E6" s="378"/>
      <c r="F6" s="378"/>
      <c r="G6" s="378"/>
      <c r="H6" s="378"/>
      <c r="I6" s="378"/>
    </row>
    <row r="7" spans="1:15" ht="15" customHeight="1" x14ac:dyDescent="0.25">
      <c r="B7" s="762" t="s">
        <v>200</v>
      </c>
      <c r="C7" s="762" t="s">
        <v>201</v>
      </c>
      <c r="D7" s="762" t="s">
        <v>202</v>
      </c>
      <c r="E7" s="762" t="s">
        <v>203</v>
      </c>
      <c r="F7" s="762" t="s">
        <v>204</v>
      </c>
      <c r="G7" s="762" t="s">
        <v>205</v>
      </c>
      <c r="H7" s="764" t="s">
        <v>206</v>
      </c>
      <c r="I7" s="780" t="s">
        <v>207</v>
      </c>
      <c r="J7" s="402">
        <v>0.99718598179047602</v>
      </c>
      <c r="K7" s="400" t="s">
        <v>232</v>
      </c>
      <c r="L7" s="400" t="s">
        <v>7</v>
      </c>
      <c r="M7" s="400" t="s">
        <v>8</v>
      </c>
      <c r="N7" s="400" t="s">
        <v>261</v>
      </c>
    </row>
    <row r="8" spans="1:15" ht="15.75" thickBot="1" x14ac:dyDescent="0.3">
      <c r="B8" s="772"/>
      <c r="C8" s="772"/>
      <c r="D8" s="763"/>
      <c r="E8" s="763"/>
      <c r="F8" s="763"/>
      <c r="G8" s="763"/>
      <c r="H8" s="765"/>
      <c r="I8" s="781"/>
      <c r="J8" s="474" t="s">
        <v>267</v>
      </c>
      <c r="K8" s="401" t="e">
        <f>#REF!</f>
        <v>#REF!</v>
      </c>
      <c r="L8" s="401" t="e">
        <f>#REF!</f>
        <v>#REF!</v>
      </c>
      <c r="M8" s="401" t="e">
        <f>#REF!</f>
        <v>#REF!</v>
      </c>
      <c r="N8" s="402"/>
    </row>
    <row r="9" spans="1:15" ht="15.75" customHeight="1" x14ac:dyDescent="0.25">
      <c r="B9" s="766" t="s">
        <v>259</v>
      </c>
      <c r="C9" s="379" t="s">
        <v>208</v>
      </c>
      <c r="D9" s="380">
        <v>68000</v>
      </c>
      <c r="E9" s="381">
        <v>103600</v>
      </c>
      <c r="F9" s="381">
        <v>348100</v>
      </c>
      <c r="G9" s="382">
        <v>20000</v>
      </c>
      <c r="H9" s="383">
        <f>SUM(D9:G9)</f>
        <v>539700</v>
      </c>
      <c r="I9" s="467"/>
      <c r="J9" s="472">
        <f>H9*$J$7</f>
        <v>538181.27437231992</v>
      </c>
      <c r="K9" s="472" t="e">
        <f>K8</f>
        <v>#REF!</v>
      </c>
      <c r="L9" s="472" t="e">
        <f>L8</f>
        <v>#REF!</v>
      </c>
      <c r="M9" s="472" t="e">
        <f>J9-K9-L9</f>
        <v>#REF!</v>
      </c>
      <c r="N9" s="472" t="e">
        <f>J9-SUM(K9:M9)</f>
        <v>#REF!</v>
      </c>
      <c r="O9" s="416"/>
    </row>
    <row r="10" spans="1:15" ht="15.75" customHeight="1" x14ac:dyDescent="0.25">
      <c r="B10" s="767"/>
      <c r="C10" s="384" t="s">
        <v>209</v>
      </c>
      <c r="D10" s="380">
        <f>D9</f>
        <v>68000</v>
      </c>
      <c r="E10" s="381">
        <f>E9</f>
        <v>103600</v>
      </c>
      <c r="F10" s="381">
        <f>F9</f>
        <v>348100</v>
      </c>
      <c r="G10" s="382">
        <f>G9</f>
        <v>20000</v>
      </c>
      <c r="H10" s="465">
        <f t="shared" ref="H10:H32" si="0">SUM(D10:G10)</f>
        <v>539700</v>
      </c>
      <c r="I10" s="468"/>
      <c r="J10" s="472">
        <f t="shared" ref="J10:J32" si="1">H10*$J$7</f>
        <v>538181.27437231992</v>
      </c>
      <c r="K10" s="472" t="e">
        <f>K9</f>
        <v>#REF!</v>
      </c>
      <c r="L10" s="472" t="e">
        <f>L9</f>
        <v>#REF!</v>
      </c>
      <c r="M10" s="472" t="e">
        <f t="shared" ref="M10:M32" si="2">J10-K10-L10</f>
        <v>#REF!</v>
      </c>
      <c r="N10" s="472" t="e">
        <f t="shared" ref="N10:N32" si="3">J10-SUM(K10:M10)</f>
        <v>#REF!</v>
      </c>
      <c r="O10" s="416"/>
    </row>
    <row r="11" spans="1:15" ht="15.75" customHeight="1" x14ac:dyDescent="0.25">
      <c r="B11" s="767"/>
      <c r="C11" s="384" t="s">
        <v>210</v>
      </c>
      <c r="D11" s="380">
        <f t="shared" ref="D11:G26" si="4">D10</f>
        <v>68000</v>
      </c>
      <c r="E11" s="381">
        <f t="shared" si="4"/>
        <v>103600</v>
      </c>
      <c r="F11" s="381">
        <f t="shared" si="4"/>
        <v>348100</v>
      </c>
      <c r="G11" s="382">
        <f t="shared" si="4"/>
        <v>20000</v>
      </c>
      <c r="H11" s="465">
        <f t="shared" si="0"/>
        <v>539700</v>
      </c>
      <c r="I11" s="468"/>
      <c r="J11" s="472">
        <f t="shared" si="1"/>
        <v>538181.27437231992</v>
      </c>
      <c r="K11" s="472" t="e">
        <f t="shared" ref="K11:K32" si="5">K10</f>
        <v>#REF!</v>
      </c>
      <c r="L11" s="472" t="e">
        <f t="shared" ref="L11:L32" si="6">L10</f>
        <v>#REF!</v>
      </c>
      <c r="M11" s="472" t="e">
        <f t="shared" si="2"/>
        <v>#REF!</v>
      </c>
      <c r="N11" s="472" t="e">
        <f t="shared" si="3"/>
        <v>#REF!</v>
      </c>
      <c r="O11" s="416"/>
    </row>
    <row r="12" spans="1:15" ht="15.75" customHeight="1" x14ac:dyDescent="0.25">
      <c r="B12" s="767"/>
      <c r="C12" s="384" t="s">
        <v>211</v>
      </c>
      <c r="D12" s="380">
        <f t="shared" si="4"/>
        <v>68000</v>
      </c>
      <c r="E12" s="381">
        <f t="shared" si="4"/>
        <v>103600</v>
      </c>
      <c r="F12" s="381">
        <f t="shared" si="4"/>
        <v>348100</v>
      </c>
      <c r="G12" s="382">
        <f t="shared" si="4"/>
        <v>20000</v>
      </c>
      <c r="H12" s="465">
        <f t="shared" si="0"/>
        <v>539700</v>
      </c>
      <c r="I12" s="468"/>
      <c r="J12" s="472">
        <f t="shared" si="1"/>
        <v>538181.27437231992</v>
      </c>
      <c r="K12" s="472" t="e">
        <f t="shared" si="5"/>
        <v>#REF!</v>
      </c>
      <c r="L12" s="472" t="e">
        <f t="shared" si="6"/>
        <v>#REF!</v>
      </c>
      <c r="M12" s="472" t="e">
        <f t="shared" si="2"/>
        <v>#REF!</v>
      </c>
      <c r="N12" s="472" t="e">
        <f t="shared" si="3"/>
        <v>#REF!</v>
      </c>
      <c r="O12" s="416"/>
    </row>
    <row r="13" spans="1:15" ht="15.75" x14ac:dyDescent="0.25">
      <c r="B13" s="767"/>
      <c r="C13" s="384" t="s">
        <v>212</v>
      </c>
      <c r="D13" s="380">
        <f t="shared" si="4"/>
        <v>68000</v>
      </c>
      <c r="E13" s="381">
        <f t="shared" si="4"/>
        <v>103600</v>
      </c>
      <c r="F13" s="381">
        <f t="shared" si="4"/>
        <v>348100</v>
      </c>
      <c r="G13" s="382">
        <f t="shared" si="4"/>
        <v>20000</v>
      </c>
      <c r="H13" s="465">
        <f t="shared" si="0"/>
        <v>539700</v>
      </c>
      <c r="I13" s="468"/>
      <c r="J13" s="472">
        <f t="shared" si="1"/>
        <v>538181.27437231992</v>
      </c>
      <c r="K13" s="472" t="e">
        <f t="shared" si="5"/>
        <v>#REF!</v>
      </c>
      <c r="L13" s="472" t="e">
        <f t="shared" si="6"/>
        <v>#REF!</v>
      </c>
      <c r="M13" s="472" t="e">
        <f t="shared" si="2"/>
        <v>#REF!</v>
      </c>
      <c r="N13" s="472" t="e">
        <f t="shared" si="3"/>
        <v>#REF!</v>
      </c>
      <c r="O13" s="416"/>
    </row>
    <row r="14" spans="1:15" ht="16.5" customHeight="1" x14ac:dyDescent="0.25">
      <c r="B14" s="767"/>
      <c r="C14" s="384" t="s">
        <v>213</v>
      </c>
      <c r="D14" s="380">
        <f t="shared" si="4"/>
        <v>68000</v>
      </c>
      <c r="E14" s="381">
        <f t="shared" si="4"/>
        <v>103600</v>
      </c>
      <c r="F14" s="381">
        <f t="shared" si="4"/>
        <v>348100</v>
      </c>
      <c r="G14" s="382">
        <f t="shared" si="4"/>
        <v>20000</v>
      </c>
      <c r="H14" s="465">
        <f t="shared" si="0"/>
        <v>539700</v>
      </c>
      <c r="I14" s="469"/>
      <c r="J14" s="472">
        <f t="shared" si="1"/>
        <v>538181.27437231992</v>
      </c>
      <c r="K14" s="472" t="e">
        <f t="shared" si="5"/>
        <v>#REF!</v>
      </c>
      <c r="L14" s="472" t="e">
        <f t="shared" si="6"/>
        <v>#REF!</v>
      </c>
      <c r="M14" s="472" t="e">
        <f t="shared" si="2"/>
        <v>#REF!</v>
      </c>
      <c r="N14" s="472" t="e">
        <f t="shared" si="3"/>
        <v>#REF!</v>
      </c>
      <c r="O14" s="416"/>
    </row>
    <row r="15" spans="1:15" ht="17.25" customHeight="1" x14ac:dyDescent="0.25">
      <c r="B15" s="767"/>
      <c r="C15" s="384" t="s">
        <v>214</v>
      </c>
      <c r="D15" s="380">
        <f t="shared" si="4"/>
        <v>68000</v>
      </c>
      <c r="E15" s="385">
        <v>102000</v>
      </c>
      <c r="F15" s="385">
        <v>342500</v>
      </c>
      <c r="G15" s="382">
        <f t="shared" si="4"/>
        <v>20000</v>
      </c>
      <c r="H15" s="413">
        <f t="shared" si="0"/>
        <v>532500</v>
      </c>
      <c r="I15" s="782" t="s">
        <v>260</v>
      </c>
      <c r="J15" s="472">
        <f t="shared" si="1"/>
        <v>531001.53530342854</v>
      </c>
      <c r="K15" s="472" t="e">
        <f t="shared" si="5"/>
        <v>#REF!</v>
      </c>
      <c r="L15" s="472" t="e">
        <f t="shared" si="6"/>
        <v>#REF!</v>
      </c>
      <c r="M15" s="472" t="e">
        <f t="shared" si="2"/>
        <v>#REF!</v>
      </c>
      <c r="N15" s="472" t="e">
        <f t="shared" si="3"/>
        <v>#REF!</v>
      </c>
      <c r="O15" s="416"/>
    </row>
    <row r="16" spans="1:15" ht="15.75" customHeight="1" x14ac:dyDescent="0.25">
      <c r="B16" s="767"/>
      <c r="C16" s="384" t="s">
        <v>215</v>
      </c>
      <c r="D16" s="380">
        <f t="shared" si="4"/>
        <v>68000</v>
      </c>
      <c r="E16" s="385">
        <f>E15</f>
        <v>102000</v>
      </c>
      <c r="F16" s="385">
        <f>F15</f>
        <v>342500</v>
      </c>
      <c r="G16" s="382">
        <f t="shared" si="4"/>
        <v>20000</v>
      </c>
      <c r="H16" s="413">
        <f t="shared" si="0"/>
        <v>532500</v>
      </c>
      <c r="I16" s="782"/>
      <c r="J16" s="472">
        <f t="shared" si="1"/>
        <v>531001.53530342854</v>
      </c>
      <c r="K16" s="472" t="e">
        <f t="shared" si="5"/>
        <v>#REF!</v>
      </c>
      <c r="L16" s="472" t="e">
        <f t="shared" si="6"/>
        <v>#REF!</v>
      </c>
      <c r="M16" s="472" t="e">
        <f t="shared" si="2"/>
        <v>#REF!</v>
      </c>
      <c r="N16" s="472" t="e">
        <f t="shared" si="3"/>
        <v>#REF!</v>
      </c>
      <c r="O16" s="416"/>
    </row>
    <row r="17" spans="2:15" ht="15.75" customHeight="1" x14ac:dyDescent="0.25">
      <c r="B17" s="767"/>
      <c r="C17" s="384" t="s">
        <v>216</v>
      </c>
      <c r="D17" s="380">
        <f t="shared" si="4"/>
        <v>68000</v>
      </c>
      <c r="E17" s="385">
        <f t="shared" si="4"/>
        <v>102000</v>
      </c>
      <c r="F17" s="385">
        <f t="shared" si="4"/>
        <v>342500</v>
      </c>
      <c r="G17" s="382">
        <f t="shared" si="4"/>
        <v>20000</v>
      </c>
      <c r="H17" s="413">
        <f t="shared" si="0"/>
        <v>532500</v>
      </c>
      <c r="I17" s="782"/>
      <c r="J17" s="472">
        <f t="shared" si="1"/>
        <v>531001.53530342854</v>
      </c>
      <c r="K17" s="472" t="e">
        <f t="shared" si="5"/>
        <v>#REF!</v>
      </c>
      <c r="L17" s="472" t="e">
        <f t="shared" si="6"/>
        <v>#REF!</v>
      </c>
      <c r="M17" s="472" t="e">
        <f t="shared" si="2"/>
        <v>#REF!</v>
      </c>
      <c r="N17" s="472" t="e">
        <f t="shared" si="3"/>
        <v>#REF!</v>
      </c>
      <c r="O17" s="416"/>
    </row>
    <row r="18" spans="2:15" ht="15.75" customHeight="1" x14ac:dyDescent="0.25">
      <c r="B18" s="767"/>
      <c r="C18" s="384" t="s">
        <v>217</v>
      </c>
      <c r="D18" s="380">
        <f t="shared" si="4"/>
        <v>68000</v>
      </c>
      <c r="E18" s="385">
        <f t="shared" si="4"/>
        <v>102000</v>
      </c>
      <c r="F18" s="385">
        <f t="shared" si="4"/>
        <v>342500</v>
      </c>
      <c r="G18" s="382">
        <f t="shared" si="4"/>
        <v>20000</v>
      </c>
      <c r="H18" s="413">
        <f t="shared" si="0"/>
        <v>532500</v>
      </c>
      <c r="I18" s="782"/>
      <c r="J18" s="472">
        <f t="shared" si="1"/>
        <v>531001.53530342854</v>
      </c>
      <c r="K18" s="472" t="e">
        <f t="shared" si="5"/>
        <v>#REF!</v>
      </c>
      <c r="L18" s="472" t="e">
        <f t="shared" si="6"/>
        <v>#REF!</v>
      </c>
      <c r="M18" s="472" t="e">
        <f t="shared" si="2"/>
        <v>#REF!</v>
      </c>
      <c r="N18" s="472" t="e">
        <f t="shared" si="3"/>
        <v>#REF!</v>
      </c>
      <c r="O18" s="416"/>
    </row>
    <row r="19" spans="2:15" ht="15.75" customHeight="1" x14ac:dyDescent="0.25">
      <c r="B19" s="767"/>
      <c r="C19" s="384" t="s">
        <v>218</v>
      </c>
      <c r="D19" s="380">
        <f t="shared" si="4"/>
        <v>68000</v>
      </c>
      <c r="E19" s="385">
        <f t="shared" si="4"/>
        <v>102000</v>
      </c>
      <c r="F19" s="385">
        <f t="shared" si="4"/>
        <v>342500</v>
      </c>
      <c r="G19" s="382">
        <f t="shared" si="4"/>
        <v>20000</v>
      </c>
      <c r="H19" s="413">
        <f t="shared" si="0"/>
        <v>532500</v>
      </c>
      <c r="I19" s="782"/>
      <c r="J19" s="472">
        <f t="shared" si="1"/>
        <v>531001.53530342854</v>
      </c>
      <c r="K19" s="472" t="e">
        <f t="shared" si="5"/>
        <v>#REF!</v>
      </c>
      <c r="L19" s="472" t="e">
        <f t="shared" si="6"/>
        <v>#REF!</v>
      </c>
      <c r="M19" s="472" t="e">
        <f t="shared" si="2"/>
        <v>#REF!</v>
      </c>
      <c r="N19" s="472" t="e">
        <f t="shared" si="3"/>
        <v>#REF!</v>
      </c>
      <c r="O19" s="416"/>
    </row>
    <row r="20" spans="2:15" ht="15.75" customHeight="1" x14ac:dyDescent="0.25">
      <c r="B20" s="767"/>
      <c r="C20" s="384" t="s">
        <v>219</v>
      </c>
      <c r="D20" s="380">
        <f t="shared" si="4"/>
        <v>68000</v>
      </c>
      <c r="E20" s="385">
        <f t="shared" si="4"/>
        <v>102000</v>
      </c>
      <c r="F20" s="385">
        <f t="shared" si="4"/>
        <v>342500</v>
      </c>
      <c r="G20" s="382">
        <f t="shared" si="4"/>
        <v>20000</v>
      </c>
      <c r="H20" s="413">
        <f t="shared" si="0"/>
        <v>532500</v>
      </c>
      <c r="I20" s="782"/>
      <c r="J20" s="472">
        <f t="shared" si="1"/>
        <v>531001.53530342854</v>
      </c>
      <c r="K20" s="472" t="e">
        <f t="shared" si="5"/>
        <v>#REF!</v>
      </c>
      <c r="L20" s="472" t="e">
        <f t="shared" si="6"/>
        <v>#REF!</v>
      </c>
      <c r="M20" s="472" t="e">
        <f t="shared" si="2"/>
        <v>#REF!</v>
      </c>
      <c r="N20" s="472" t="e">
        <f t="shared" si="3"/>
        <v>#REF!</v>
      </c>
      <c r="O20" s="416"/>
    </row>
    <row r="21" spans="2:15" ht="15.75" customHeight="1" x14ac:dyDescent="0.25">
      <c r="B21" s="767"/>
      <c r="C21" s="384" t="s">
        <v>220</v>
      </c>
      <c r="D21" s="380">
        <f t="shared" si="4"/>
        <v>68000</v>
      </c>
      <c r="E21" s="385">
        <f t="shared" si="4"/>
        <v>102000</v>
      </c>
      <c r="F21" s="385">
        <f t="shared" si="4"/>
        <v>342500</v>
      </c>
      <c r="G21" s="382">
        <f t="shared" si="4"/>
        <v>20000</v>
      </c>
      <c r="H21" s="413">
        <f t="shared" si="0"/>
        <v>532500</v>
      </c>
      <c r="I21" s="782"/>
      <c r="J21" s="472">
        <f t="shared" si="1"/>
        <v>531001.53530342854</v>
      </c>
      <c r="K21" s="472" t="e">
        <f t="shared" si="5"/>
        <v>#REF!</v>
      </c>
      <c r="L21" s="472" t="e">
        <f t="shared" si="6"/>
        <v>#REF!</v>
      </c>
      <c r="M21" s="472" t="e">
        <f t="shared" si="2"/>
        <v>#REF!</v>
      </c>
      <c r="N21" s="472" t="e">
        <f t="shared" si="3"/>
        <v>#REF!</v>
      </c>
      <c r="O21" s="416"/>
    </row>
    <row r="22" spans="2:15" ht="15.75" customHeight="1" x14ac:dyDescent="0.25">
      <c r="B22" s="767"/>
      <c r="C22" s="384" t="s">
        <v>221</v>
      </c>
      <c r="D22" s="380">
        <f t="shared" si="4"/>
        <v>68000</v>
      </c>
      <c r="E22" s="385">
        <f t="shared" si="4"/>
        <v>102000</v>
      </c>
      <c r="F22" s="385">
        <f t="shared" si="4"/>
        <v>342500</v>
      </c>
      <c r="G22" s="382">
        <f t="shared" si="4"/>
        <v>20000</v>
      </c>
      <c r="H22" s="413">
        <f t="shared" si="0"/>
        <v>532500</v>
      </c>
      <c r="I22" s="782"/>
      <c r="J22" s="472">
        <f t="shared" si="1"/>
        <v>531001.53530342854</v>
      </c>
      <c r="K22" s="472" t="e">
        <f t="shared" si="5"/>
        <v>#REF!</v>
      </c>
      <c r="L22" s="472" t="e">
        <f t="shared" si="6"/>
        <v>#REF!</v>
      </c>
      <c r="M22" s="472" t="e">
        <f t="shared" si="2"/>
        <v>#REF!</v>
      </c>
      <c r="N22" s="472" t="e">
        <f t="shared" si="3"/>
        <v>#REF!</v>
      </c>
      <c r="O22" s="416"/>
    </row>
    <row r="23" spans="2:15" ht="15.75" customHeight="1" x14ac:dyDescent="0.25">
      <c r="B23" s="767"/>
      <c r="C23" s="384" t="s">
        <v>222</v>
      </c>
      <c r="D23" s="380">
        <f t="shared" si="4"/>
        <v>68000</v>
      </c>
      <c r="E23" s="385">
        <f t="shared" si="4"/>
        <v>102000</v>
      </c>
      <c r="F23" s="385">
        <f t="shared" si="4"/>
        <v>342500</v>
      </c>
      <c r="G23" s="382">
        <f t="shared" si="4"/>
        <v>20000</v>
      </c>
      <c r="H23" s="413">
        <f t="shared" si="0"/>
        <v>532500</v>
      </c>
      <c r="I23" s="782"/>
      <c r="J23" s="472">
        <f t="shared" si="1"/>
        <v>531001.53530342854</v>
      </c>
      <c r="K23" s="472" t="e">
        <f t="shared" si="5"/>
        <v>#REF!</v>
      </c>
      <c r="L23" s="472" t="e">
        <f t="shared" si="6"/>
        <v>#REF!</v>
      </c>
      <c r="M23" s="472" t="e">
        <f t="shared" si="2"/>
        <v>#REF!</v>
      </c>
      <c r="N23" s="472" t="e">
        <f t="shared" si="3"/>
        <v>#REF!</v>
      </c>
      <c r="O23" s="416"/>
    </row>
    <row r="24" spans="2:15" ht="15.75" customHeight="1" x14ac:dyDescent="0.25">
      <c r="B24" s="767"/>
      <c r="C24" s="384" t="s">
        <v>223</v>
      </c>
      <c r="D24" s="380">
        <f t="shared" si="4"/>
        <v>68000</v>
      </c>
      <c r="E24" s="385">
        <f t="shared" si="4"/>
        <v>102000</v>
      </c>
      <c r="F24" s="385">
        <f t="shared" si="4"/>
        <v>342500</v>
      </c>
      <c r="G24" s="382">
        <f t="shared" si="4"/>
        <v>20000</v>
      </c>
      <c r="H24" s="413">
        <f t="shared" si="0"/>
        <v>532500</v>
      </c>
      <c r="I24" s="782"/>
      <c r="J24" s="472">
        <f t="shared" si="1"/>
        <v>531001.53530342854</v>
      </c>
      <c r="K24" s="472" t="e">
        <f t="shared" si="5"/>
        <v>#REF!</v>
      </c>
      <c r="L24" s="472" t="e">
        <f t="shared" si="6"/>
        <v>#REF!</v>
      </c>
      <c r="M24" s="472" t="e">
        <f t="shared" si="2"/>
        <v>#REF!</v>
      </c>
      <c r="N24" s="472" t="e">
        <f t="shared" si="3"/>
        <v>#REF!</v>
      </c>
      <c r="O24" s="416"/>
    </row>
    <row r="25" spans="2:15" ht="15.75" customHeight="1" x14ac:dyDescent="0.25">
      <c r="B25" s="767"/>
      <c r="C25" s="384" t="s">
        <v>224</v>
      </c>
      <c r="D25" s="380">
        <f t="shared" si="4"/>
        <v>68000</v>
      </c>
      <c r="E25" s="385">
        <f t="shared" si="4"/>
        <v>102000</v>
      </c>
      <c r="F25" s="385">
        <f t="shared" si="4"/>
        <v>342500</v>
      </c>
      <c r="G25" s="382">
        <f t="shared" si="4"/>
        <v>20000</v>
      </c>
      <c r="H25" s="413">
        <f t="shared" si="0"/>
        <v>532500</v>
      </c>
      <c r="I25" s="782"/>
      <c r="J25" s="472">
        <f t="shared" si="1"/>
        <v>531001.53530342854</v>
      </c>
      <c r="K25" s="472" t="e">
        <f t="shared" si="5"/>
        <v>#REF!</v>
      </c>
      <c r="L25" s="472" t="e">
        <f t="shared" si="6"/>
        <v>#REF!</v>
      </c>
      <c r="M25" s="472" t="e">
        <f t="shared" si="2"/>
        <v>#REF!</v>
      </c>
      <c r="N25" s="472" t="e">
        <f t="shared" si="3"/>
        <v>#REF!</v>
      </c>
      <c r="O25" s="416"/>
    </row>
    <row r="26" spans="2:15" ht="16.5" customHeight="1" x14ac:dyDescent="0.25">
      <c r="B26" s="767"/>
      <c r="C26" s="384" t="s">
        <v>225</v>
      </c>
      <c r="D26" s="380">
        <f t="shared" si="4"/>
        <v>68000</v>
      </c>
      <c r="E26" s="385">
        <f t="shared" si="4"/>
        <v>102000</v>
      </c>
      <c r="F26" s="385">
        <f t="shared" si="4"/>
        <v>342500</v>
      </c>
      <c r="G26" s="382">
        <f t="shared" si="4"/>
        <v>20000</v>
      </c>
      <c r="H26" s="413">
        <f t="shared" si="0"/>
        <v>532500</v>
      </c>
      <c r="I26" s="782"/>
      <c r="J26" s="472">
        <f t="shared" si="1"/>
        <v>531001.53530342854</v>
      </c>
      <c r="K26" s="472" t="e">
        <f t="shared" si="5"/>
        <v>#REF!</v>
      </c>
      <c r="L26" s="472" t="e">
        <f t="shared" si="6"/>
        <v>#REF!</v>
      </c>
      <c r="M26" s="472" t="e">
        <f t="shared" si="2"/>
        <v>#REF!</v>
      </c>
      <c r="N26" s="472" t="e">
        <f t="shared" si="3"/>
        <v>#REF!</v>
      </c>
      <c r="O26" s="416"/>
    </row>
    <row r="27" spans="2:15" ht="15.75" customHeight="1" x14ac:dyDescent="0.25">
      <c r="B27" s="767"/>
      <c r="C27" s="384" t="s">
        <v>226</v>
      </c>
      <c r="D27" s="380">
        <f t="shared" ref="D27:F32" si="7">D26</f>
        <v>68000</v>
      </c>
      <c r="E27" s="381">
        <f>E14</f>
        <v>103600</v>
      </c>
      <c r="F27" s="381">
        <f>F14</f>
        <v>348100</v>
      </c>
      <c r="G27" s="382">
        <f t="shared" ref="G27:G32" si="8">G26</f>
        <v>20000</v>
      </c>
      <c r="H27" s="465">
        <f t="shared" si="0"/>
        <v>539700</v>
      </c>
      <c r="I27" s="469"/>
      <c r="J27" s="472">
        <f t="shared" si="1"/>
        <v>538181.27437231992</v>
      </c>
      <c r="K27" s="472" t="e">
        <f t="shared" si="5"/>
        <v>#REF!</v>
      </c>
      <c r="L27" s="472" t="e">
        <f t="shared" si="6"/>
        <v>#REF!</v>
      </c>
      <c r="M27" s="472" t="e">
        <f t="shared" si="2"/>
        <v>#REF!</v>
      </c>
      <c r="N27" s="472" t="e">
        <f t="shared" si="3"/>
        <v>#REF!</v>
      </c>
      <c r="O27" s="416"/>
    </row>
    <row r="28" spans="2:15" ht="16.5" customHeight="1" x14ac:dyDescent="0.25">
      <c r="B28" s="767"/>
      <c r="C28" s="384" t="s">
        <v>227</v>
      </c>
      <c r="D28" s="380">
        <f t="shared" si="7"/>
        <v>68000</v>
      </c>
      <c r="E28" s="381">
        <f>E27</f>
        <v>103600</v>
      </c>
      <c r="F28" s="381">
        <f>F27</f>
        <v>348100</v>
      </c>
      <c r="G28" s="382">
        <f t="shared" si="8"/>
        <v>20000</v>
      </c>
      <c r="H28" s="465">
        <f t="shared" si="0"/>
        <v>539700</v>
      </c>
      <c r="I28" s="469"/>
      <c r="J28" s="472">
        <f t="shared" si="1"/>
        <v>538181.27437231992</v>
      </c>
      <c r="K28" s="472" t="e">
        <f t="shared" si="5"/>
        <v>#REF!</v>
      </c>
      <c r="L28" s="472" t="e">
        <f t="shared" si="6"/>
        <v>#REF!</v>
      </c>
      <c r="M28" s="472" t="e">
        <f t="shared" si="2"/>
        <v>#REF!</v>
      </c>
      <c r="N28" s="472" t="e">
        <f t="shared" si="3"/>
        <v>#REF!</v>
      </c>
      <c r="O28" s="416"/>
    </row>
    <row r="29" spans="2:15" ht="15.75" customHeight="1" x14ac:dyDescent="0.25">
      <c r="B29" s="767"/>
      <c r="C29" s="384" t="s">
        <v>228</v>
      </c>
      <c r="D29" s="380">
        <f t="shared" si="7"/>
        <v>68000</v>
      </c>
      <c r="E29" s="381">
        <f t="shared" si="7"/>
        <v>103600</v>
      </c>
      <c r="F29" s="381">
        <f t="shared" si="7"/>
        <v>348100</v>
      </c>
      <c r="G29" s="382">
        <f t="shared" si="8"/>
        <v>20000</v>
      </c>
      <c r="H29" s="465">
        <f t="shared" si="0"/>
        <v>539700</v>
      </c>
      <c r="I29" s="468"/>
      <c r="J29" s="472">
        <f t="shared" si="1"/>
        <v>538181.27437231992</v>
      </c>
      <c r="K29" s="472" t="e">
        <f t="shared" si="5"/>
        <v>#REF!</v>
      </c>
      <c r="L29" s="472" t="e">
        <f t="shared" si="6"/>
        <v>#REF!</v>
      </c>
      <c r="M29" s="472" t="e">
        <f t="shared" si="2"/>
        <v>#REF!</v>
      </c>
      <c r="N29" s="472" t="e">
        <f t="shared" si="3"/>
        <v>#REF!</v>
      </c>
      <c r="O29" s="416"/>
    </row>
    <row r="30" spans="2:15" ht="15.75" customHeight="1" x14ac:dyDescent="0.25">
      <c r="B30" s="767"/>
      <c r="C30" s="384" t="s">
        <v>229</v>
      </c>
      <c r="D30" s="380">
        <f t="shared" si="7"/>
        <v>68000</v>
      </c>
      <c r="E30" s="381">
        <f t="shared" si="7"/>
        <v>103600</v>
      </c>
      <c r="F30" s="381">
        <f t="shared" si="7"/>
        <v>348100</v>
      </c>
      <c r="G30" s="382">
        <f t="shared" si="8"/>
        <v>20000</v>
      </c>
      <c r="H30" s="465">
        <f t="shared" si="0"/>
        <v>539700</v>
      </c>
      <c r="I30" s="468"/>
      <c r="J30" s="472">
        <f t="shared" si="1"/>
        <v>538181.27437231992</v>
      </c>
      <c r="K30" s="472" t="e">
        <f t="shared" si="5"/>
        <v>#REF!</v>
      </c>
      <c r="L30" s="472" t="e">
        <f t="shared" si="6"/>
        <v>#REF!</v>
      </c>
      <c r="M30" s="472" t="e">
        <f t="shared" si="2"/>
        <v>#REF!</v>
      </c>
      <c r="N30" s="472" t="e">
        <f t="shared" si="3"/>
        <v>#REF!</v>
      </c>
      <c r="O30" s="416"/>
    </row>
    <row r="31" spans="2:15" ht="15.75" customHeight="1" x14ac:dyDescent="0.25">
      <c r="B31" s="767"/>
      <c r="C31" s="384" t="s">
        <v>230</v>
      </c>
      <c r="D31" s="380">
        <f t="shared" si="7"/>
        <v>68000</v>
      </c>
      <c r="E31" s="381">
        <f t="shared" si="7"/>
        <v>103600</v>
      </c>
      <c r="F31" s="381">
        <f t="shared" si="7"/>
        <v>348100</v>
      </c>
      <c r="G31" s="382">
        <f t="shared" si="8"/>
        <v>20000</v>
      </c>
      <c r="H31" s="465">
        <f t="shared" si="0"/>
        <v>539700</v>
      </c>
      <c r="I31" s="468"/>
      <c r="J31" s="472">
        <f t="shared" si="1"/>
        <v>538181.27437231992</v>
      </c>
      <c r="K31" s="472" t="e">
        <f t="shared" si="5"/>
        <v>#REF!</v>
      </c>
      <c r="L31" s="472" t="e">
        <f t="shared" si="6"/>
        <v>#REF!</v>
      </c>
      <c r="M31" s="472" t="e">
        <f t="shared" si="2"/>
        <v>#REF!</v>
      </c>
      <c r="N31" s="472" t="e">
        <f t="shared" si="3"/>
        <v>#REF!</v>
      </c>
      <c r="O31" s="416"/>
    </row>
    <row r="32" spans="2:15" ht="16.5" customHeight="1" thickBot="1" x14ac:dyDescent="0.3">
      <c r="B32" s="768"/>
      <c r="C32" s="386" t="s">
        <v>231</v>
      </c>
      <c r="D32" s="380">
        <f t="shared" si="7"/>
        <v>68000</v>
      </c>
      <c r="E32" s="381">
        <f t="shared" si="7"/>
        <v>103600</v>
      </c>
      <c r="F32" s="381">
        <f t="shared" si="7"/>
        <v>348100</v>
      </c>
      <c r="G32" s="382">
        <f t="shared" si="8"/>
        <v>20000</v>
      </c>
      <c r="H32" s="466">
        <f t="shared" si="0"/>
        <v>539700</v>
      </c>
      <c r="I32" s="470"/>
      <c r="J32" s="472">
        <f t="shared" si="1"/>
        <v>538181.27437231992</v>
      </c>
      <c r="K32" s="472" t="e">
        <f t="shared" si="5"/>
        <v>#REF!</v>
      </c>
      <c r="L32" s="472" t="e">
        <f t="shared" si="6"/>
        <v>#REF!</v>
      </c>
      <c r="M32" s="472" t="e">
        <f t="shared" si="2"/>
        <v>#REF!</v>
      </c>
      <c r="N32" s="472" t="e">
        <f t="shared" si="3"/>
        <v>#REF!</v>
      </c>
      <c r="O32" s="416"/>
    </row>
    <row r="33" spans="2:15" ht="15.75" customHeight="1" thickBot="1" x14ac:dyDescent="0.3">
      <c r="B33" s="387" t="s">
        <v>130</v>
      </c>
      <c r="C33" s="388"/>
      <c r="D33" s="389">
        <f>AVERAGE(D9:D32)</f>
        <v>68000</v>
      </c>
      <c r="E33" s="389">
        <f>AVERAGE(E9:E32)</f>
        <v>102800</v>
      </c>
      <c r="F33" s="389">
        <f>AVERAGE(F9:F32)</f>
        <v>345300</v>
      </c>
      <c r="G33" s="389">
        <f>AVERAGE(G9:G32)</f>
        <v>20000</v>
      </c>
      <c r="H33" s="389">
        <f>AVERAGE(H9:H32)</f>
        <v>536100</v>
      </c>
      <c r="I33" s="471"/>
      <c r="J33" s="473">
        <f>AVERAGE(J9:J32)</f>
        <v>534591.40483787446</v>
      </c>
      <c r="K33" s="473" t="e">
        <f>AVERAGE(K9:K32)</f>
        <v>#REF!</v>
      </c>
      <c r="L33" s="473" t="e">
        <f>AVERAGE(L9:L32)</f>
        <v>#REF!</v>
      </c>
      <c r="M33" s="473" t="e">
        <f>AVERAGE(M9:M32)</f>
        <v>#REF!</v>
      </c>
      <c r="N33" s="473" t="e">
        <f>AVERAGE(N9:N32)</f>
        <v>#REF!</v>
      </c>
      <c r="O33" s="416"/>
    </row>
    <row r="34" spans="2:15" ht="15.75" x14ac:dyDescent="0.25">
      <c r="B34" s="391"/>
      <c r="C34" s="392"/>
      <c r="D34" s="393"/>
      <c r="E34" s="393"/>
      <c r="F34" s="393"/>
      <c r="G34" s="394"/>
      <c r="H34" s="395"/>
      <c r="I34" s="396"/>
      <c r="J34" s="472"/>
      <c r="K34" s="472" t="e">
        <f>K33-K8</f>
        <v>#REF!</v>
      </c>
      <c r="L34" s="472" t="e">
        <f>L33-L8</f>
        <v>#REF!</v>
      </c>
      <c r="M34" s="472" t="e">
        <f>M33-M8</f>
        <v>#REF!</v>
      </c>
      <c r="N34" s="472"/>
    </row>
    <row r="35" spans="2:15" x14ac:dyDescent="0.25">
      <c r="B35" s="397"/>
      <c r="C35" s="397"/>
      <c r="D35" s="397"/>
      <c r="E35" s="397"/>
      <c r="F35" s="397"/>
      <c r="G35" s="397"/>
      <c r="H35" s="397"/>
      <c r="I35" s="397"/>
    </row>
    <row r="36" spans="2:15" ht="27" customHeight="1" x14ac:dyDescent="0.25">
      <c r="B36" s="475" t="s">
        <v>262</v>
      </c>
      <c r="C36" s="476" t="s">
        <v>263</v>
      </c>
      <c r="D36" s="397"/>
      <c r="E36" s="397"/>
      <c r="F36" s="397"/>
      <c r="G36" s="397"/>
      <c r="H36" s="397"/>
      <c r="I36" s="397"/>
    </row>
    <row r="37" spans="2:15" x14ac:dyDescent="0.25">
      <c r="B37" s="406" t="s">
        <v>264</v>
      </c>
      <c r="C37" s="407">
        <v>31393</v>
      </c>
      <c r="D37" s="398"/>
      <c r="E37" s="397"/>
      <c r="F37" s="397"/>
      <c r="G37" s="397"/>
      <c r="H37" s="399"/>
      <c r="I37" s="397"/>
    </row>
    <row r="38" spans="2:15" x14ac:dyDescent="0.25">
      <c r="B38" s="406" t="s">
        <v>265</v>
      </c>
      <c r="C38" s="407">
        <v>24213</v>
      </c>
      <c r="D38" s="397"/>
      <c r="E38" s="397"/>
      <c r="F38" s="397"/>
      <c r="G38" s="397"/>
      <c r="H38" s="397"/>
      <c r="I38" s="397"/>
    </row>
    <row r="39" spans="2:15" x14ac:dyDescent="0.25">
      <c r="B39" s="406" t="s">
        <v>266</v>
      </c>
      <c r="C39" s="407">
        <v>31393</v>
      </c>
      <c r="D39" s="397"/>
      <c r="E39" s="397"/>
      <c r="F39" s="397"/>
      <c r="G39" s="397"/>
      <c r="H39" s="397"/>
      <c r="I39" s="397"/>
    </row>
    <row r="40" spans="2:15" x14ac:dyDescent="0.25">
      <c r="B40" s="405" t="s">
        <v>233</v>
      </c>
      <c r="C40" s="477">
        <v>28042</v>
      </c>
      <c r="D40" s="397"/>
      <c r="E40" s="397"/>
      <c r="F40" s="397"/>
      <c r="G40" s="397"/>
      <c r="H40" s="397"/>
      <c r="I40" s="397"/>
    </row>
    <row r="41" spans="2:15" x14ac:dyDescent="0.25">
      <c r="E41" s="397"/>
      <c r="F41" s="397"/>
    </row>
    <row r="42" spans="2:15" x14ac:dyDescent="0.25">
      <c r="E42" s="397"/>
      <c r="F42" s="397"/>
    </row>
    <row r="43" spans="2:15" x14ac:dyDescent="0.25">
      <c r="E43" s="397"/>
      <c r="F43" s="397"/>
    </row>
  </sheetData>
  <mergeCells count="15">
    <mergeCell ref="G7:G8"/>
    <mergeCell ref="H7:H8"/>
    <mergeCell ref="I7:I8"/>
    <mergeCell ref="B9:B32"/>
    <mergeCell ref="I15:I26"/>
    <mergeCell ref="B7:B8"/>
    <mergeCell ref="C7:C8"/>
    <mergeCell ref="D7:D8"/>
    <mergeCell ref="E7:E8"/>
    <mergeCell ref="F7:F8"/>
    <mergeCell ref="A1:B3"/>
    <mergeCell ref="C1:I1"/>
    <mergeCell ref="C2:I2"/>
    <mergeCell ref="A4:I4"/>
    <mergeCell ref="A5:I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rgb="FF002060"/>
  </sheetPr>
  <dimension ref="A1:AX186"/>
  <sheetViews>
    <sheetView topLeftCell="X1" zoomScale="80" zoomScaleNormal="80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60">
        <v>3000</v>
      </c>
      <c r="I2" s="26">
        <v>0</v>
      </c>
      <c r="J2" s="26"/>
      <c r="K2" s="27">
        <f>SUM(H2:J2)</f>
        <v>3000</v>
      </c>
      <c r="L2" s="28">
        <f>AA4-K2</f>
        <v>209560</v>
      </c>
      <c r="M2" s="29"/>
      <c r="N2" s="798">
        <f>SUM(K2:K26)</f>
        <v>222093</v>
      </c>
      <c r="O2" s="30">
        <f>+K2/$N$2</f>
        <v>1.3507854817576421E-2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209560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665" t="s">
        <v>31</v>
      </c>
      <c r="AE2" s="665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60">
        <v>1100</v>
      </c>
      <c r="J3" s="26"/>
      <c r="K3" s="27">
        <f t="shared" ref="K3:K73" si="0">SUM(H3:J3)</f>
        <v>1100</v>
      </c>
      <c r="L3" s="28">
        <f t="shared" ref="L3:L66" si="1">+L2-K3</f>
        <v>208460</v>
      </c>
      <c r="M3" s="29"/>
      <c r="N3" s="799"/>
      <c r="O3" s="30">
        <f t="shared" ref="O3:O29" si="2">+K3/$N$2</f>
        <v>4.9528800997780207E-3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603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208460</v>
      </c>
      <c r="X3" s="32">
        <f t="shared" ref="X3:X56" si="9">W3-L3</f>
        <v>0</v>
      </c>
      <c r="Y3" s="37" t="s">
        <v>34</v>
      </c>
      <c r="Z3" s="38">
        <f>ROUND((Z13*57%),0)</f>
        <v>282549</v>
      </c>
      <c r="AA3" s="39">
        <f>ROUND((+Z14*0.57),0)</f>
        <v>281765</v>
      </c>
      <c r="AB3" s="454">
        <v>67313</v>
      </c>
      <c r="AC3" s="455">
        <v>178604</v>
      </c>
      <c r="AD3" s="40">
        <v>35796</v>
      </c>
      <c r="AE3" s="41">
        <f>SUM(AB3:AD3)</f>
        <v>281713</v>
      </c>
      <c r="AF3" s="41">
        <f>AA3-AE3</f>
        <v>52</v>
      </c>
      <c r="AG3" s="641">
        <f>AA3-AB3-AC3-AD3</f>
        <v>52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558"/>
      <c r="I4" s="560">
        <v>8193</v>
      </c>
      <c r="J4" s="26"/>
      <c r="K4" s="27">
        <f t="shared" si="0"/>
        <v>8193</v>
      </c>
      <c r="L4" s="28">
        <f t="shared" si="1"/>
        <v>200267</v>
      </c>
      <c r="M4" s="29"/>
      <c r="N4" s="799"/>
      <c r="O4" s="30">
        <f t="shared" si="2"/>
        <v>3.6889951506801202E-2</v>
      </c>
      <c r="P4" s="802"/>
      <c r="Q4" s="31">
        <f t="shared" si="3"/>
        <v>0</v>
      </c>
      <c r="R4" s="31"/>
      <c r="S4" s="28">
        <f t="shared" si="4"/>
        <v>0</v>
      </c>
      <c r="T4" s="603">
        <f t="shared" si="5"/>
        <v>8193</v>
      </c>
      <c r="U4" s="28">
        <f t="shared" si="6"/>
        <v>0</v>
      </c>
      <c r="V4" s="28">
        <f t="shared" si="7"/>
        <v>8193</v>
      </c>
      <c r="W4" s="31">
        <f t="shared" si="8"/>
        <v>200267</v>
      </c>
      <c r="X4" s="32">
        <f t="shared" si="9"/>
        <v>0</v>
      </c>
      <c r="Y4" s="37" t="s">
        <v>38</v>
      </c>
      <c r="Z4" s="38">
        <f>ROUND((Z13*43%),0)</f>
        <v>213151</v>
      </c>
      <c r="AA4" s="39">
        <f>ROUND((+Z14*0.43),0)</f>
        <v>212560</v>
      </c>
      <c r="AB4" s="43">
        <f>T105</f>
        <v>21833.166666666668</v>
      </c>
      <c r="AC4" s="43">
        <f>S105</f>
        <v>190726.83333333334</v>
      </c>
      <c r="AD4" s="40">
        <f>U105</f>
        <v>0</v>
      </c>
      <c r="AE4" s="41">
        <f>SUM(AB4:AD4)</f>
        <v>212560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60">
        <v>1200</v>
      </c>
      <c r="J5" s="26"/>
      <c r="K5" s="27">
        <f t="shared" si="0"/>
        <v>1200</v>
      </c>
      <c r="L5" s="28">
        <f t="shared" si="1"/>
        <v>199067</v>
      </c>
      <c r="M5" s="29"/>
      <c r="N5" s="799"/>
      <c r="O5" s="30">
        <f t="shared" si="2"/>
        <v>5.403141927030568E-3</v>
      </c>
      <c r="P5" s="802"/>
      <c r="Q5" s="31">
        <f t="shared" si="3"/>
        <v>0</v>
      </c>
      <c r="R5" s="31"/>
      <c r="S5" s="28">
        <f t="shared" si="4"/>
        <v>0</v>
      </c>
      <c r="T5" s="603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199067</v>
      </c>
      <c r="X5" s="32">
        <f t="shared" si="9"/>
        <v>0</v>
      </c>
      <c r="Y5" s="44" t="s">
        <v>41</v>
      </c>
      <c r="Z5" s="38">
        <f>SUM(Z3:Z4)</f>
        <v>495700</v>
      </c>
      <c r="AA5" s="45">
        <f>SUM(AA3:AA4)</f>
        <v>494325</v>
      </c>
      <c r="AB5" s="46">
        <f>SUM(AB3:AB4)</f>
        <v>89146.166666666672</v>
      </c>
      <c r="AC5" s="41">
        <f>SUM(AC3:AC4)</f>
        <v>369330.83333333337</v>
      </c>
      <c r="AD5" s="40">
        <f>SUM(AD3:AD4)</f>
        <v>35796</v>
      </c>
      <c r="AE5" s="41">
        <f>SUM(AB5:AD5)</f>
        <v>494273.00000000006</v>
      </c>
      <c r="AF5" s="47">
        <f>SUM(AF3:AF4)</f>
        <v>52</v>
      </c>
      <c r="AG5" s="642">
        <f>SUM(AG3:AG4)</f>
        <v>52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60">
        <v>12000</v>
      </c>
      <c r="I6" s="26"/>
      <c r="J6" s="26"/>
      <c r="K6" s="27">
        <f t="shared" si="0"/>
        <v>12000</v>
      </c>
      <c r="L6" s="28">
        <f t="shared" si="1"/>
        <v>187067</v>
      </c>
      <c r="M6" s="29"/>
      <c r="N6" s="799"/>
      <c r="O6" s="30">
        <f t="shared" si="2"/>
        <v>5.4031419270305685E-2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187067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60">
        <f>1796+12389</f>
        <v>14185</v>
      </c>
      <c r="I7" s="560">
        <f>604+2411+800</f>
        <v>3815</v>
      </c>
      <c r="J7" s="26"/>
      <c r="K7" s="27">
        <f t="shared" si="0"/>
        <v>18000</v>
      </c>
      <c r="L7" s="28">
        <f t="shared" si="1"/>
        <v>169067</v>
      </c>
      <c r="M7" s="29"/>
      <c r="N7" s="799"/>
      <c r="O7" s="30">
        <f t="shared" si="2"/>
        <v>8.1047128905458524E-2</v>
      </c>
      <c r="P7" s="802"/>
      <c r="Q7" s="31">
        <f t="shared" si="3"/>
        <v>0</v>
      </c>
      <c r="R7" s="31"/>
      <c r="S7" s="28">
        <f t="shared" si="4"/>
        <v>14185</v>
      </c>
      <c r="T7" s="603">
        <f t="shared" si="5"/>
        <v>3815</v>
      </c>
      <c r="U7" s="28">
        <f t="shared" si="6"/>
        <v>0</v>
      </c>
      <c r="V7" s="28">
        <f t="shared" si="7"/>
        <v>18000</v>
      </c>
      <c r="W7" s="31">
        <f t="shared" si="8"/>
        <v>169067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60">
        <v>2500</v>
      </c>
      <c r="I8" s="26"/>
      <c r="J8" s="26"/>
      <c r="K8" s="27">
        <f t="shared" si="0"/>
        <v>2500</v>
      </c>
      <c r="L8" s="28">
        <f t="shared" si="1"/>
        <v>166567</v>
      </c>
      <c r="M8" s="29"/>
      <c r="N8" s="799"/>
      <c r="O8" s="30">
        <f t="shared" si="2"/>
        <v>1.1256545681313684E-2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166567</v>
      </c>
      <c r="X8" s="32">
        <f t="shared" si="9"/>
        <v>0</v>
      </c>
      <c r="Y8" s="14" t="s">
        <v>47</v>
      </c>
      <c r="Z8" s="54">
        <v>41923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60">
        <v>1117</v>
      </c>
      <c r="I9" s="560">
        <v>1083</v>
      </c>
      <c r="J9" s="26"/>
      <c r="K9" s="27">
        <f t="shared" si="0"/>
        <v>2200</v>
      </c>
      <c r="L9" s="28">
        <f t="shared" si="1"/>
        <v>164367</v>
      </c>
      <c r="M9" s="29"/>
      <c r="N9" s="799"/>
      <c r="O9" s="30">
        <f t="shared" si="2"/>
        <v>9.9057601995560414E-3</v>
      </c>
      <c r="P9" s="802"/>
      <c r="Q9" s="31">
        <f t="shared" si="3"/>
        <v>0</v>
      </c>
      <c r="R9" s="31"/>
      <c r="S9" s="28">
        <f t="shared" si="4"/>
        <v>1117</v>
      </c>
      <c r="T9" s="603">
        <f t="shared" si="5"/>
        <v>1083</v>
      </c>
      <c r="U9" s="28">
        <f t="shared" si="6"/>
        <v>0</v>
      </c>
      <c r="V9" s="28">
        <f t="shared" si="7"/>
        <v>2200</v>
      </c>
      <c r="W9" s="31">
        <f t="shared" si="8"/>
        <v>164367</v>
      </c>
      <c r="X9" s="32">
        <f t="shared" si="9"/>
        <v>0</v>
      </c>
      <c r="Y9" s="14" t="s">
        <v>189</v>
      </c>
      <c r="Z9" s="58">
        <f>495700-AB9</f>
        <v>495700</v>
      </c>
      <c r="AA9" s="59">
        <f>Z9*14.65/14.73</f>
        <v>493007.80719619821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-134204</v>
      </c>
      <c r="AG9" s="49"/>
      <c r="AH9" s="651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60">
        <v>20000</v>
      </c>
      <c r="I10" s="26">
        <v>0</v>
      </c>
      <c r="J10" s="26"/>
      <c r="K10" s="27">
        <f t="shared" si="0"/>
        <v>20000</v>
      </c>
      <c r="L10" s="28">
        <f t="shared" si="1"/>
        <v>144367</v>
      </c>
      <c r="M10" s="29"/>
      <c r="N10" s="799"/>
      <c r="O10" s="30">
        <f t="shared" si="2"/>
        <v>9.0052365450509472E-2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144367</v>
      </c>
      <c r="X10" s="32">
        <f t="shared" si="9"/>
        <v>0</v>
      </c>
      <c r="Y10" s="14" t="s">
        <v>191</v>
      </c>
      <c r="Z10" s="58">
        <f>ROUND((Z9*Z30),0)</f>
        <v>494325</v>
      </c>
      <c r="AA10" s="59">
        <f>Z10*14.65/14.73</f>
        <v>491640.27494908351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60">
        <v>18000</v>
      </c>
      <c r="I11" s="26"/>
      <c r="J11" s="26"/>
      <c r="K11" s="27">
        <f t="shared" si="0"/>
        <v>18000</v>
      </c>
      <c r="L11" s="28">
        <f t="shared" si="1"/>
        <v>126367</v>
      </c>
      <c r="M11" s="29"/>
      <c r="N11" s="799"/>
      <c r="O11" s="30">
        <f t="shared" si="2"/>
        <v>8.1047128905458524E-2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126367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-61103.999999999985</v>
      </c>
      <c r="AG11" s="62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60">
        <v>3600</v>
      </c>
      <c r="I12" s="26"/>
      <c r="J12" s="26"/>
      <c r="K12" s="27">
        <f t="shared" si="0"/>
        <v>3600</v>
      </c>
      <c r="L12" s="28">
        <f t="shared" si="1"/>
        <v>122767</v>
      </c>
      <c r="M12" s="29"/>
      <c r="N12" s="799"/>
      <c r="O12" s="30">
        <f t="shared" si="2"/>
        <v>1.6209425781091705E-2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122767</v>
      </c>
      <c r="X12" s="32">
        <f t="shared" si="9"/>
        <v>0</v>
      </c>
      <c r="Y12" s="14" t="s">
        <v>64</v>
      </c>
      <c r="Z12" s="58"/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60">
        <v>6000</v>
      </c>
      <c r="I13" s="26">
        <v>0</v>
      </c>
      <c r="J13" s="26"/>
      <c r="K13" s="27">
        <f t="shared" si="0"/>
        <v>6000</v>
      </c>
      <c r="L13" s="28">
        <f t="shared" si="1"/>
        <v>116767</v>
      </c>
      <c r="M13" s="29"/>
      <c r="N13" s="799"/>
      <c r="O13" s="30">
        <f t="shared" si="2"/>
        <v>2.7015709635152842E-2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116767</v>
      </c>
      <c r="X13" s="32">
        <f t="shared" si="9"/>
        <v>0</v>
      </c>
      <c r="Y13" s="14" t="s">
        <v>67</v>
      </c>
      <c r="Z13" s="67">
        <f>Z14/Z30</f>
        <v>495700.02929416369</v>
      </c>
      <c r="AA13" s="35"/>
      <c r="AB13" s="35"/>
      <c r="AC13" s="35"/>
      <c r="AD13" s="57"/>
      <c r="AE13" s="57"/>
      <c r="AF13" s="35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60">
        <v>17200</v>
      </c>
      <c r="I14" s="26">
        <v>0</v>
      </c>
      <c r="J14" s="26"/>
      <c r="K14" s="27">
        <f t="shared" si="0"/>
        <v>17200</v>
      </c>
      <c r="L14" s="28">
        <f t="shared" si="1"/>
        <v>99567</v>
      </c>
      <c r="M14" s="29"/>
      <c r="N14" s="799"/>
      <c r="O14" s="30">
        <f t="shared" si="2"/>
        <v>7.7445034287438139E-2</v>
      </c>
      <c r="P14" s="802"/>
      <c r="Q14" s="31">
        <f t="shared" si="3"/>
        <v>0</v>
      </c>
      <c r="R14" s="31">
        <v>0</v>
      </c>
      <c r="S14" s="28">
        <f t="shared" si="4"/>
        <v>17200</v>
      </c>
      <c r="T14" s="28">
        <f t="shared" si="5"/>
        <v>0</v>
      </c>
      <c r="U14" s="28">
        <f t="shared" si="6"/>
        <v>0</v>
      </c>
      <c r="V14" s="28">
        <f t="shared" si="7"/>
        <v>17200</v>
      </c>
      <c r="W14" s="31">
        <f t="shared" si="8"/>
        <v>99567</v>
      </c>
      <c r="X14" s="32">
        <f t="shared" si="9"/>
        <v>0</v>
      </c>
      <c r="Y14" s="14" t="s">
        <v>70</v>
      </c>
      <c r="Z14" s="67">
        <f>+Z10-(Z11+Z12)</f>
        <v>494325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60">
        <v>17200</v>
      </c>
      <c r="I15" s="26"/>
      <c r="J15" s="26"/>
      <c r="K15" s="27">
        <f t="shared" si="0"/>
        <v>17200</v>
      </c>
      <c r="L15" s="28">
        <f t="shared" si="1"/>
        <v>82367</v>
      </c>
      <c r="M15" s="29"/>
      <c r="N15" s="799"/>
      <c r="O15" s="30">
        <f t="shared" si="2"/>
        <v>7.7445034287438139E-2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82367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60">
        <v>20500</v>
      </c>
      <c r="I16" s="26"/>
      <c r="J16" s="26"/>
      <c r="K16" s="27">
        <f t="shared" si="0"/>
        <v>20500</v>
      </c>
      <c r="L16" s="28">
        <f t="shared" si="1"/>
        <v>61867</v>
      </c>
      <c r="M16" s="29"/>
      <c r="N16" s="799"/>
      <c r="O16" s="30">
        <f t="shared" si="2"/>
        <v>9.2303674586772202E-2</v>
      </c>
      <c r="P16" s="802"/>
      <c r="Q16" s="31">
        <v>0</v>
      </c>
      <c r="R16" s="31">
        <v>0</v>
      </c>
      <c r="S16" s="671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61867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60">
        <v>2667</v>
      </c>
      <c r="I17" s="560">
        <v>3000</v>
      </c>
      <c r="J17" s="26"/>
      <c r="K17" s="27">
        <f t="shared" si="0"/>
        <v>5667</v>
      </c>
      <c r="L17" s="28">
        <f t="shared" si="1"/>
        <v>56200</v>
      </c>
      <c r="M17" s="29"/>
      <c r="N17" s="799"/>
      <c r="O17" s="30">
        <f t="shared" si="2"/>
        <v>2.5516337750401859E-2</v>
      </c>
      <c r="P17" s="802"/>
      <c r="Q17" s="31">
        <f t="shared" si="3"/>
        <v>0</v>
      </c>
      <c r="R17" s="31">
        <v>0</v>
      </c>
      <c r="S17" s="28">
        <f t="shared" si="4"/>
        <v>2667</v>
      </c>
      <c r="T17" s="603">
        <f t="shared" si="5"/>
        <v>3000</v>
      </c>
      <c r="U17" s="28">
        <f t="shared" si="6"/>
        <v>0</v>
      </c>
      <c r="V17" s="28">
        <f t="shared" si="7"/>
        <v>5667</v>
      </c>
      <c r="W17" s="31">
        <f t="shared" si="8"/>
        <v>56200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60">
        <v>333</v>
      </c>
      <c r="J18" s="26"/>
      <c r="K18" s="27">
        <f t="shared" si="0"/>
        <v>333</v>
      </c>
      <c r="L18" s="28">
        <f t="shared" si="1"/>
        <v>55867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603">
        <f t="shared" si="5"/>
        <v>333</v>
      </c>
      <c r="U18" s="28">
        <f t="shared" si="6"/>
        <v>0</v>
      </c>
      <c r="V18" s="28">
        <f t="shared" si="7"/>
        <v>333</v>
      </c>
      <c r="W18" s="31">
        <f t="shared" si="8"/>
        <v>55867</v>
      </c>
      <c r="X18" s="32"/>
      <c r="Y18" s="14" t="s">
        <v>77</v>
      </c>
      <c r="Z18" s="71">
        <f>ROUND(Z14*0.43,0)</f>
        <v>212560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/>
      <c r="I19" s="26"/>
      <c r="J19" s="26"/>
      <c r="K19" s="27">
        <f t="shared" si="0"/>
        <v>0</v>
      </c>
      <c r="L19" s="28">
        <f t="shared" si="1"/>
        <v>55867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55867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60">
        <v>1500</v>
      </c>
      <c r="I20" s="26">
        <v>0</v>
      </c>
      <c r="J20" s="26"/>
      <c r="K20" s="27">
        <f t="shared" si="0"/>
        <v>1500</v>
      </c>
      <c r="L20" s="28">
        <f t="shared" si="1"/>
        <v>54367</v>
      </c>
      <c r="M20" s="29"/>
      <c r="N20" s="799"/>
      <c r="O20" s="30">
        <f t="shared" si="2"/>
        <v>6.7539274087882106E-3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54367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54367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54367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60">
        <v>7500</v>
      </c>
      <c r="I22" s="26">
        <v>0</v>
      </c>
      <c r="J22" s="26"/>
      <c r="K22" s="27">
        <f t="shared" si="0"/>
        <v>7500</v>
      </c>
      <c r="L22" s="28">
        <f t="shared" si="1"/>
        <v>46867</v>
      </c>
      <c r="M22" s="29"/>
      <c r="N22" s="799"/>
      <c r="O22" s="30">
        <f t="shared" si="2"/>
        <v>3.376963704394105E-2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46867</v>
      </c>
      <c r="X22" s="32">
        <f t="shared" si="9"/>
        <v>0</v>
      </c>
      <c r="Y22" s="14"/>
      <c r="Z22" s="72"/>
      <c r="AE22" s="76"/>
      <c r="AF22" s="51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46867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46867</v>
      </c>
      <c r="X23" s="32"/>
      <c r="Y23" s="14"/>
      <c r="Z23" s="72"/>
      <c r="AE23" s="76"/>
      <c r="AF23" s="51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560">
        <v>10000</v>
      </c>
      <c r="I24" s="26"/>
      <c r="J24" s="26"/>
      <c r="K24" s="27">
        <f t="shared" si="0"/>
        <v>10000</v>
      </c>
      <c r="L24" s="28">
        <f t="shared" si="1"/>
        <v>36867</v>
      </c>
      <c r="M24" s="29"/>
      <c r="N24" s="799"/>
      <c r="O24" s="30">
        <f t="shared" si="2"/>
        <v>4.5026182725254736E-2</v>
      </c>
      <c r="P24" s="802"/>
      <c r="Q24" s="31">
        <f t="shared" si="3"/>
        <v>0</v>
      </c>
      <c r="R24" s="31">
        <v>0</v>
      </c>
      <c r="S24" s="28">
        <f t="shared" si="4"/>
        <v>10000</v>
      </c>
      <c r="T24" s="28">
        <f t="shared" si="5"/>
        <v>0</v>
      </c>
      <c r="U24" s="28">
        <f t="shared" si="6"/>
        <v>0</v>
      </c>
      <c r="V24" s="28">
        <f t="shared" si="7"/>
        <v>10000</v>
      </c>
      <c r="W24" s="31">
        <f>+W22-V24</f>
        <v>36867</v>
      </c>
      <c r="X24" s="32">
        <f t="shared" si="9"/>
        <v>0</v>
      </c>
      <c r="Y24" s="74" t="s">
        <v>169</v>
      </c>
      <c r="Z24" s="75">
        <f>+Z18+Z19</f>
        <v>212560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60">
        <v>12000</v>
      </c>
      <c r="I25" s="26"/>
      <c r="J25" s="26"/>
      <c r="K25" s="27">
        <f t="shared" si="0"/>
        <v>12000</v>
      </c>
      <c r="L25" s="28">
        <f t="shared" si="1"/>
        <v>24867</v>
      </c>
      <c r="M25" s="29"/>
      <c r="N25" s="799"/>
      <c r="O25" s="30">
        <f t="shared" si="2"/>
        <v>5.4031419270305685E-2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88" si="10">+W24-V25</f>
        <v>24867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66">
        <v>34400</v>
      </c>
      <c r="K26" s="442">
        <f t="shared" si="0"/>
        <v>34400</v>
      </c>
      <c r="L26" s="28">
        <f t="shared" si="1"/>
        <v>-9533</v>
      </c>
      <c r="M26" s="86"/>
      <c r="N26" s="800"/>
      <c r="O26" s="87">
        <f t="shared" si="2"/>
        <v>0.15489006857487628</v>
      </c>
      <c r="P26" s="803"/>
      <c r="Q26" s="144">
        <f t="shared" si="3"/>
        <v>0</v>
      </c>
      <c r="R26" s="144">
        <v>-34400</v>
      </c>
      <c r="S26" s="423">
        <f t="shared" si="4"/>
        <v>0</v>
      </c>
      <c r="T26" s="423">
        <f t="shared" si="5"/>
        <v>0</v>
      </c>
      <c r="U26" s="423">
        <f t="shared" si="6"/>
        <v>0</v>
      </c>
      <c r="V26" s="423">
        <f t="shared" si="7"/>
        <v>0</v>
      </c>
      <c r="W26" s="31">
        <f t="shared" si="10"/>
        <v>24867</v>
      </c>
      <c r="X26" s="32">
        <f t="shared" si="9"/>
        <v>34400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-9533</v>
      </c>
      <c r="M27" s="95"/>
      <c r="N27" s="804">
        <f>SUM(K27:K49)</f>
        <v>14207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0"/>
        <v>24867</v>
      </c>
      <c r="X27" s="32">
        <f t="shared" si="9"/>
        <v>34400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-9533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0"/>
        <v>24867</v>
      </c>
      <c r="X28" s="32">
        <f t="shared" si="9"/>
        <v>34400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-9533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0"/>
        <v>24867</v>
      </c>
      <c r="X29" s="32">
        <f t="shared" si="9"/>
        <v>34400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-9533</v>
      </c>
      <c r="M30" s="29"/>
      <c r="N30" s="799"/>
      <c r="O30" s="30">
        <f t="shared" ref="O30:O56" si="11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0"/>
        <v>24867</v>
      </c>
      <c r="X30" s="32">
        <f t="shared" si="9"/>
        <v>34400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-9533</v>
      </c>
      <c r="M31" s="29"/>
      <c r="N31" s="799"/>
      <c r="O31" s="30">
        <f t="shared" si="11"/>
        <v>0</v>
      </c>
      <c r="P31" s="802"/>
      <c r="Q31" s="31">
        <f t="shared" ref="Q31:Q57" si="12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0"/>
        <v>24867</v>
      </c>
      <c r="X31" s="32">
        <f t="shared" si="9"/>
        <v>34400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-9533</v>
      </c>
      <c r="M32" s="29"/>
      <c r="N32" s="799"/>
      <c r="O32" s="30">
        <f t="shared" si="11"/>
        <v>0</v>
      </c>
      <c r="P32" s="802"/>
      <c r="Q32" s="31">
        <f t="shared" si="12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0"/>
        <v>24867</v>
      </c>
      <c r="X32" s="32">
        <f t="shared" si="9"/>
        <v>34400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-9533</v>
      </c>
      <c r="M33" s="29"/>
      <c r="N33" s="799"/>
      <c r="O33" s="30">
        <f t="shared" si="11"/>
        <v>0</v>
      </c>
      <c r="P33" s="802"/>
      <c r="Q33" s="31">
        <f t="shared" si="12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0"/>
        <v>24867</v>
      </c>
      <c r="X33" s="32">
        <f t="shared" si="9"/>
        <v>34400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-9533</v>
      </c>
      <c r="M34" s="29"/>
      <c r="N34" s="799"/>
      <c r="O34" s="30">
        <f t="shared" si="11"/>
        <v>0</v>
      </c>
      <c r="P34" s="802"/>
      <c r="Q34" s="31">
        <f t="shared" si="12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0"/>
        <v>24867</v>
      </c>
      <c r="X34" s="32">
        <f t="shared" si="9"/>
        <v>34400</v>
      </c>
      <c r="Y34" s="806"/>
      <c r="Z34" s="112">
        <v>100000</v>
      </c>
      <c r="AA34" s="113">
        <f>AD5-Z34</f>
        <v>-64204</v>
      </c>
      <c r="AB34" s="113">
        <f>Z34+AA34</f>
        <v>35796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-9533</v>
      </c>
      <c r="M35" s="29"/>
      <c r="N35" s="799"/>
      <c r="O35" s="30">
        <f t="shared" si="11"/>
        <v>0</v>
      </c>
      <c r="P35" s="802"/>
      <c r="Q35" s="31">
        <f t="shared" si="12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0"/>
        <v>24867</v>
      </c>
      <c r="X35" s="32">
        <f>W35-L35</f>
        <v>34400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-9533</v>
      </c>
      <c r="M36" s="29"/>
      <c r="N36" s="799"/>
      <c r="O36" s="30">
        <f t="shared" si="11"/>
        <v>0</v>
      </c>
      <c r="P36" s="802"/>
      <c r="Q36" s="31">
        <f t="shared" si="12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0"/>
        <v>24867</v>
      </c>
      <c r="X36" s="32">
        <f t="shared" si="9"/>
        <v>34400</v>
      </c>
      <c r="Y36" s="117" t="s">
        <v>60</v>
      </c>
      <c r="Z36" s="113">
        <f>Z34*57%</f>
        <v>56999.999999999993</v>
      </c>
      <c r="AA36" s="113">
        <f>AD3-Z36</f>
        <v>-21203.999999999993</v>
      </c>
      <c r="AB36" s="113">
        <f>Z36+AA36</f>
        <v>35796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-9533</v>
      </c>
      <c r="M37" s="29"/>
      <c r="N37" s="799"/>
      <c r="O37" s="30">
        <f t="shared" si="11"/>
        <v>0</v>
      </c>
      <c r="P37" s="802"/>
      <c r="Q37" s="31">
        <f t="shared" si="12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0"/>
        <v>24867</v>
      </c>
      <c r="X37" s="32">
        <f t="shared" si="9"/>
        <v>34400</v>
      </c>
      <c r="Y37" s="117" t="s">
        <v>94</v>
      </c>
      <c r="Z37" s="113">
        <f>+Z35+Z36</f>
        <v>100000</v>
      </c>
      <c r="AA37" s="113">
        <f>SUM(AA35:AA36)</f>
        <v>-64203.999999999993</v>
      </c>
      <c r="AB37" s="113">
        <f>Z37+AA37</f>
        <v>35796.000000000007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>
        <v>14207</v>
      </c>
      <c r="I38" s="26"/>
      <c r="J38" s="26"/>
      <c r="K38" s="27">
        <f t="shared" si="0"/>
        <v>14207</v>
      </c>
      <c r="L38" s="28">
        <f>+L37-K38</f>
        <v>-23740</v>
      </c>
      <c r="M38" s="29"/>
      <c r="N38" s="799"/>
      <c r="O38" s="30">
        <f t="shared" si="11"/>
        <v>1</v>
      </c>
      <c r="P38" s="802"/>
      <c r="Q38" s="31">
        <f t="shared" si="12"/>
        <v>0</v>
      </c>
      <c r="R38" s="31"/>
      <c r="S38" s="28">
        <f t="shared" si="4"/>
        <v>14207</v>
      </c>
      <c r="T38" s="28">
        <f t="shared" si="5"/>
        <v>0</v>
      </c>
      <c r="U38" s="28">
        <f t="shared" si="6"/>
        <v>0</v>
      </c>
      <c r="V38" s="28">
        <f t="shared" si="7"/>
        <v>14207</v>
      </c>
      <c r="W38" s="31">
        <f t="shared" si="10"/>
        <v>10660</v>
      </c>
      <c r="X38" s="32">
        <f t="shared" si="9"/>
        <v>34400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-23740</v>
      </c>
      <c r="M39" s="29"/>
      <c r="N39" s="799"/>
      <c r="O39" s="30">
        <f t="shared" si="11"/>
        <v>0</v>
      </c>
      <c r="P39" s="802"/>
      <c r="Q39" s="31">
        <f t="shared" si="12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0"/>
        <v>10660</v>
      </c>
      <c r="X39" s="32">
        <f t="shared" si="9"/>
        <v>34400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-23740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0"/>
        <v>10660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-23740</v>
      </c>
      <c r="M41" s="29"/>
      <c r="N41" s="799"/>
      <c r="O41" s="30">
        <f t="shared" si="11"/>
        <v>0</v>
      </c>
      <c r="P41" s="802"/>
      <c r="Q41" s="31">
        <f t="shared" si="12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0"/>
        <v>10660</v>
      </c>
      <c r="X41" s="32">
        <f t="shared" si="9"/>
        <v>34400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-23740</v>
      </c>
      <c r="M42" s="29"/>
      <c r="N42" s="799"/>
      <c r="O42" s="30">
        <f t="shared" si="11"/>
        <v>0</v>
      </c>
      <c r="P42" s="802"/>
      <c r="Q42" s="31">
        <f t="shared" si="12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0"/>
        <v>10660</v>
      </c>
      <c r="X42" s="32">
        <f t="shared" si="9"/>
        <v>34400</v>
      </c>
      <c r="Y42" s="74" t="s">
        <v>96</v>
      </c>
      <c r="Z42" s="75">
        <v>35500</v>
      </c>
      <c r="AA42" s="129">
        <f>+H7+H8+H17+H18+H19+H22+H32+H33+H43+H44+H45+H53</f>
        <v>28852</v>
      </c>
      <c r="AB42" s="129">
        <f>+I7+I8+I17+I18+I19+I22+I32+I33+I43+I44+I45+I53</f>
        <v>7148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-23740</v>
      </c>
      <c r="M43" s="29"/>
      <c r="N43" s="799"/>
      <c r="O43" s="30">
        <f t="shared" si="11"/>
        <v>0</v>
      </c>
      <c r="P43" s="802"/>
      <c r="Q43" s="31">
        <f t="shared" si="12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0"/>
        <v>10660</v>
      </c>
      <c r="X43" s="32">
        <f t="shared" si="9"/>
        <v>34400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-23740</v>
      </c>
      <c r="M44" s="29"/>
      <c r="N44" s="799"/>
      <c r="O44" s="30">
        <f t="shared" si="11"/>
        <v>0</v>
      </c>
      <c r="P44" s="802"/>
      <c r="Q44" s="31">
        <f t="shared" si="12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0"/>
        <v>10660</v>
      </c>
      <c r="X44" s="32">
        <f t="shared" si="9"/>
        <v>34400</v>
      </c>
      <c r="Y44" s="134" t="s">
        <v>43</v>
      </c>
      <c r="Z44" s="135">
        <v>22000</v>
      </c>
      <c r="AA44" s="129">
        <f>+H6+H24</f>
        <v>22000</v>
      </c>
      <c r="AB44" s="129">
        <f>+I6+I24</f>
        <v>0</v>
      </c>
      <c r="AC44" s="130">
        <f>+AA44+AB44</f>
        <v>22000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-23740</v>
      </c>
      <c r="M45" s="29"/>
      <c r="N45" s="799"/>
      <c r="O45" s="30">
        <f t="shared" si="11"/>
        <v>0</v>
      </c>
      <c r="P45" s="802"/>
      <c r="Q45" s="31">
        <f t="shared" si="12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0"/>
        <v>10660</v>
      </c>
      <c r="X45" s="32">
        <f t="shared" si="9"/>
        <v>34400</v>
      </c>
      <c r="Y45" s="131" t="s">
        <v>98</v>
      </c>
      <c r="Z45" s="132">
        <v>9600</v>
      </c>
      <c r="AA45" s="133">
        <f>+H12+H13+H37+H38</f>
        <v>23807</v>
      </c>
      <c r="AB45" s="133">
        <f>+I12+I13+I37+I38</f>
        <v>0</v>
      </c>
      <c r="AC45" s="133">
        <f>+AA45+AB45</f>
        <v>23807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26"/>
      <c r="I46" s="26"/>
      <c r="J46" s="26"/>
      <c r="K46" s="27">
        <f t="shared" si="0"/>
        <v>0</v>
      </c>
      <c r="L46" s="28">
        <f>+L45-K46</f>
        <v>-23740</v>
      </c>
      <c r="M46" s="29"/>
      <c r="N46" s="799"/>
      <c r="O46" s="30">
        <f t="shared" si="11"/>
        <v>0</v>
      </c>
      <c r="P46" s="802"/>
      <c r="Q46" s="31">
        <f t="shared" si="12"/>
        <v>0</v>
      </c>
      <c r="R46" s="31">
        <v>0</v>
      </c>
      <c r="S46" s="28">
        <f t="shared" si="4"/>
        <v>0</v>
      </c>
      <c r="T46" s="28">
        <f t="shared" si="5"/>
        <v>0</v>
      </c>
      <c r="U46" s="28">
        <f t="shared" si="6"/>
        <v>0</v>
      </c>
      <c r="V46" s="28">
        <f t="shared" si="7"/>
        <v>0</v>
      </c>
      <c r="W46" s="31">
        <f t="shared" si="10"/>
        <v>10660</v>
      </c>
      <c r="X46" s="32">
        <f t="shared" si="9"/>
        <v>34400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-23740</v>
      </c>
      <c r="M47" s="29"/>
      <c r="N47" s="799"/>
      <c r="O47" s="30">
        <f t="shared" si="11"/>
        <v>0</v>
      </c>
      <c r="P47" s="802"/>
      <c r="Q47" s="31">
        <f t="shared" si="12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0"/>
        <v>10660</v>
      </c>
      <c r="X47" s="32">
        <f t="shared" si="9"/>
        <v>34400</v>
      </c>
      <c r="Y47" s="57">
        <v>20000</v>
      </c>
      <c r="Z47" s="89">
        <v>4586</v>
      </c>
      <c r="AA47" s="35"/>
      <c r="AB47" s="57">
        <f>57000-AA60</f>
        <v>21204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-23740</v>
      </c>
      <c r="M48" s="136"/>
      <c r="N48" s="799"/>
      <c r="O48" s="137"/>
      <c r="P48" s="802"/>
      <c r="Q48" s="31">
        <f t="shared" si="12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0"/>
        <v>10660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-23740</v>
      </c>
      <c r="M49" s="86"/>
      <c r="N49" s="800"/>
      <c r="O49" s="87">
        <f t="shared" si="11"/>
        <v>0</v>
      </c>
      <c r="P49" s="803"/>
      <c r="Q49" s="144">
        <f t="shared" si="12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0"/>
        <v>10660</v>
      </c>
      <c r="X49" s="32">
        <f t="shared" si="9"/>
        <v>34400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-23740</v>
      </c>
      <c r="M50" s="95"/>
      <c r="N50" s="804">
        <f>SUM(K50:K55)</f>
        <v>24000</v>
      </c>
      <c r="O50" s="96">
        <f t="shared" si="11"/>
        <v>0</v>
      </c>
      <c r="P50" s="887">
        <f>W50</f>
        <v>10660</v>
      </c>
      <c r="Q50" s="138">
        <f t="shared" si="12"/>
        <v>0</v>
      </c>
      <c r="R50" s="157">
        <f t="shared" ref="R50" si="13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0"/>
        <v>10660</v>
      </c>
      <c r="X50" s="32">
        <f t="shared" si="9"/>
        <v>34400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560">
        <v>15000</v>
      </c>
      <c r="I51" s="26"/>
      <c r="J51" s="611"/>
      <c r="K51" s="27">
        <f t="shared" si="0"/>
        <v>15000</v>
      </c>
      <c r="L51" s="28">
        <f t="shared" si="1"/>
        <v>-38740</v>
      </c>
      <c r="M51" s="234"/>
      <c r="N51" s="799"/>
      <c r="O51" s="184"/>
      <c r="P51" s="888"/>
      <c r="Q51" s="138">
        <f t="shared" si="12"/>
        <v>0</v>
      </c>
      <c r="R51" s="31">
        <f>K51*$P$50/SUM($K$50:$K$55)-K51</f>
        <v>-8337.5</v>
      </c>
      <c r="S51" s="422">
        <f t="shared" si="4"/>
        <v>6662.5</v>
      </c>
      <c r="T51" s="28">
        <f t="shared" si="5"/>
        <v>0</v>
      </c>
      <c r="U51" s="28">
        <f t="shared" si="6"/>
        <v>0</v>
      </c>
      <c r="V51" s="28">
        <f t="shared" si="7"/>
        <v>6662.5</v>
      </c>
      <c r="W51" s="31">
        <f t="shared" si="10"/>
        <v>3997.5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-38740</v>
      </c>
      <c r="M52" s="234"/>
      <c r="N52" s="799"/>
      <c r="O52" s="184"/>
      <c r="P52" s="888"/>
      <c r="Q52" s="31">
        <f t="shared" si="12"/>
        <v>0</v>
      </c>
      <c r="R52" s="97">
        <f t="shared" ref="R52:R55" si="14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0"/>
        <v>3997.5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60">
        <v>2000</v>
      </c>
      <c r="I53" s="26"/>
      <c r="J53" s="26"/>
      <c r="K53" s="27">
        <f t="shared" si="0"/>
        <v>2000</v>
      </c>
      <c r="L53" s="28">
        <f>+L52-K53</f>
        <v>-40740</v>
      </c>
      <c r="M53" s="29"/>
      <c r="N53" s="799"/>
      <c r="O53" s="30">
        <f t="shared" si="11"/>
        <v>0.1407756739635391</v>
      </c>
      <c r="P53" s="888"/>
      <c r="Q53" s="97">
        <f t="shared" si="12"/>
        <v>0</v>
      </c>
      <c r="R53" s="31">
        <f t="shared" si="14"/>
        <v>-1111.6666666666665</v>
      </c>
      <c r="S53" s="28">
        <f t="shared" si="4"/>
        <v>888.33333333333348</v>
      </c>
      <c r="T53" s="28">
        <f t="shared" si="5"/>
        <v>0</v>
      </c>
      <c r="U53" s="28">
        <f t="shared" si="6"/>
        <v>0</v>
      </c>
      <c r="V53" s="28">
        <f t="shared" si="7"/>
        <v>888.33333333333348</v>
      </c>
      <c r="W53" s="31">
        <f t="shared" si="10"/>
        <v>3109.1666666666665</v>
      </c>
      <c r="X53" s="32">
        <f t="shared" si="9"/>
        <v>43849.166666666664</v>
      </c>
      <c r="Y53" s="80">
        <f>+Y52-15000</f>
        <v>-2513.5</v>
      </c>
      <c r="Z53" s="49">
        <f>+Z60-43000</f>
        <v>-43000</v>
      </c>
      <c r="AD53" s="322"/>
      <c r="AE53" s="153"/>
      <c r="AH53" s="19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-40740</v>
      </c>
      <c r="M54" s="29"/>
      <c r="N54" s="799"/>
      <c r="O54" s="30">
        <f t="shared" si="11"/>
        <v>0</v>
      </c>
      <c r="P54" s="888"/>
      <c r="Q54" s="97">
        <f t="shared" si="12"/>
        <v>0</v>
      </c>
      <c r="R54" s="31">
        <f t="shared" si="14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0"/>
        <v>3109.1666666666665</v>
      </c>
      <c r="X54" s="32">
        <f t="shared" si="9"/>
        <v>43849.166666666664</v>
      </c>
      <c r="Y54" s="158"/>
      <c r="Z54" s="159"/>
      <c r="AA54" s="160"/>
      <c r="AB54" s="158"/>
      <c r="AC54" s="160"/>
      <c r="AD54" s="161"/>
      <c r="AE54" s="153"/>
      <c r="AH54" s="53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60">
        <v>7000</v>
      </c>
      <c r="J55" s="143"/>
      <c r="K55" s="27">
        <f t="shared" si="0"/>
        <v>7000</v>
      </c>
      <c r="L55" s="423">
        <f t="shared" si="1"/>
        <v>-47740</v>
      </c>
      <c r="M55" s="86"/>
      <c r="N55" s="800"/>
      <c r="O55" s="87">
        <f t="shared" si="11"/>
        <v>0.49271485887238686</v>
      </c>
      <c r="P55" s="889"/>
      <c r="Q55" s="97">
        <f t="shared" si="12"/>
        <v>0</v>
      </c>
      <c r="R55" s="31">
        <f t="shared" si="14"/>
        <v>-3890.8333333333335</v>
      </c>
      <c r="S55" s="423">
        <f t="shared" si="4"/>
        <v>0</v>
      </c>
      <c r="T55" s="603">
        <f>IF(I55&lt;&gt;0,+I55+Q55+R55,0)</f>
        <v>3109.1666666666665</v>
      </c>
      <c r="U55" s="423">
        <f t="shared" si="6"/>
        <v>0</v>
      </c>
      <c r="V55" s="423">
        <f>+S55+T55+U55</f>
        <v>3109.1666666666665</v>
      </c>
      <c r="W55" s="31">
        <f t="shared" si="10"/>
        <v>0</v>
      </c>
      <c r="X55" s="119">
        <f t="shared" si="9"/>
        <v>47740</v>
      </c>
      <c r="Y55" s="807">
        <f>Z8</f>
        <v>41923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-47740</v>
      </c>
      <c r="M56" s="804"/>
      <c r="N56" s="804">
        <f>SUM(K56:K80)</f>
        <v>0</v>
      </c>
      <c r="O56" s="96">
        <f t="shared" si="11"/>
        <v>0</v>
      </c>
      <c r="P56" s="172"/>
      <c r="Q56" s="157">
        <f t="shared" si="12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0"/>
        <v>0</v>
      </c>
      <c r="X56" s="119">
        <f t="shared" si="9"/>
        <v>47740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-47740</v>
      </c>
      <c r="M57" s="800"/>
      <c r="N57" s="800"/>
      <c r="O57" s="87" t="e">
        <f t="shared" ref="O57:O80" si="15">+K57/$N$56</f>
        <v>#DIV/0!</v>
      </c>
      <c r="P57" s="328"/>
      <c r="Q57" s="448">
        <f t="shared" si="12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0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-47740</v>
      </c>
      <c r="M58" s="148"/>
      <c r="N58" s="148"/>
      <c r="O58" s="184" t="e">
        <f t="shared" si="15"/>
        <v>#DIV/0!</v>
      </c>
      <c r="P58" s="171"/>
      <c r="Q58" s="97">
        <f t="shared" ref="Q58:Q81" si="16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0"/>
        <v>0</v>
      </c>
      <c r="X58" s="408"/>
      <c r="Y58" s="180" t="s">
        <v>7</v>
      </c>
      <c r="Z58" s="181">
        <f>+AB4</f>
        <v>21833.166666666668</v>
      </c>
      <c r="AA58" s="182">
        <f>+AB3</f>
        <v>67313</v>
      </c>
      <c r="AB58" s="182">
        <f>Z12</f>
        <v>0</v>
      </c>
      <c r="AC58" s="181">
        <f>AB10</f>
        <v>0</v>
      </c>
      <c r="AD58" s="661">
        <f>SUM(Z58:AC58)</f>
        <v>89146.166666666672</v>
      </c>
      <c r="AE58" s="185"/>
      <c r="AF58" s="660"/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-47740</v>
      </c>
      <c r="M59" s="148"/>
      <c r="N59" s="148"/>
      <c r="O59" s="30" t="e">
        <f t="shared" si="15"/>
        <v>#DIV/0!</v>
      </c>
      <c r="P59" s="171"/>
      <c r="Q59" s="31">
        <f t="shared" si="16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0"/>
        <v>0</v>
      </c>
      <c r="X59" s="408"/>
      <c r="Y59" s="180" t="s">
        <v>17</v>
      </c>
      <c r="Z59" s="182">
        <f>+AC4</f>
        <v>190726.83333333334</v>
      </c>
      <c r="AA59" s="182">
        <f>AC3</f>
        <v>178604</v>
      </c>
      <c r="AB59" s="182">
        <f>Z11</f>
        <v>0</v>
      </c>
      <c r="AC59" s="181">
        <v>0</v>
      </c>
      <c r="AD59" s="661">
        <f>SUM(Z59:AC59)</f>
        <v>369330.83333333337</v>
      </c>
      <c r="AE59" s="185"/>
      <c r="AF59" s="51"/>
      <c r="AG59" s="51"/>
      <c r="AH59" s="51"/>
      <c r="AI59" s="51"/>
      <c r="AJ59" s="50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-47740</v>
      </c>
      <c r="M60" s="148"/>
      <c r="N60" s="148"/>
      <c r="O60" s="30" t="e">
        <f t="shared" si="15"/>
        <v>#DIV/0!</v>
      </c>
      <c r="P60" s="171"/>
      <c r="Q60" s="31">
        <f t="shared" si="16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0"/>
        <v>0</v>
      </c>
      <c r="X60" s="408"/>
      <c r="Y60" s="180" t="s">
        <v>112</v>
      </c>
      <c r="Z60" s="181">
        <f>+AD4+AH11</f>
        <v>0</v>
      </c>
      <c r="AA60" s="182">
        <f>+AD3+AH10</f>
        <v>35796</v>
      </c>
      <c r="AB60" s="191">
        <v>0</v>
      </c>
      <c r="AC60" s="181">
        <v>0</v>
      </c>
      <c r="AD60" s="662">
        <f>SUM(Z60:AC60)</f>
        <v>35796</v>
      </c>
      <c r="AE60" s="185"/>
      <c r="AF60" s="53"/>
      <c r="AG60" s="20"/>
      <c r="AH60" s="50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-47740</v>
      </c>
      <c r="M61" s="148"/>
      <c r="N61" s="148"/>
      <c r="O61" s="30" t="e">
        <f t="shared" si="15"/>
        <v>#DIV/0!</v>
      </c>
      <c r="P61" s="171"/>
      <c r="Q61" s="31">
        <f t="shared" si="16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0"/>
        <v>0</v>
      </c>
      <c r="X61" s="408"/>
      <c r="Y61" s="193" t="s">
        <v>113</v>
      </c>
      <c r="Z61" s="194">
        <f>SUM(Z58:Z60)</f>
        <v>212560</v>
      </c>
      <c r="AA61" s="194">
        <f>SUM(AA58:AA60)</f>
        <v>281713</v>
      </c>
      <c r="AB61" s="194">
        <f>SUM(AB58:AB60)</f>
        <v>0</v>
      </c>
      <c r="AC61" s="194">
        <f>AB10</f>
        <v>0</v>
      </c>
      <c r="AD61" s="195">
        <f>SUM(AD58:AD60)</f>
        <v>494273.00000000006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-47740</v>
      </c>
      <c r="M62" s="148"/>
      <c r="N62" s="148"/>
      <c r="O62" s="30" t="e">
        <f t="shared" si="15"/>
        <v>#DIV/0!</v>
      </c>
      <c r="P62" s="171"/>
      <c r="Q62" s="31">
        <f t="shared" si="16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0"/>
        <v>0</v>
      </c>
      <c r="X62" s="408"/>
      <c r="Y62" s="199" t="s">
        <v>114</v>
      </c>
      <c r="Z62" s="200">
        <f>(Z58/$Z$28+(Z59/$Z$27)+(Z60/$Z$29))</f>
        <v>213150.53073481537</v>
      </c>
      <c r="AA62" s="200">
        <f>(AA58/$Z$28+(AA59/$Z$27)+(AA60/$Z$29))</f>
        <v>282493.1030669082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495643.6338017236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-47740</v>
      </c>
      <c r="M63" s="148"/>
      <c r="N63" s="148"/>
      <c r="O63" s="30" t="e">
        <f t="shared" si="15"/>
        <v>#DIV/0!</v>
      </c>
      <c r="P63" s="171"/>
      <c r="Q63" s="31">
        <f t="shared" si="16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0"/>
        <v>0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-47740</v>
      </c>
      <c r="M64" s="148"/>
      <c r="N64" s="148"/>
      <c r="O64" s="30" t="e">
        <f t="shared" si="15"/>
        <v>#DIV/0!</v>
      </c>
      <c r="P64" s="171"/>
      <c r="Q64" s="31">
        <f t="shared" si="16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0"/>
        <v>0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-47740</v>
      </c>
      <c r="M65" s="148"/>
      <c r="N65" s="148"/>
      <c r="O65" s="30" t="e">
        <f t="shared" si="15"/>
        <v>#DIV/0!</v>
      </c>
      <c r="P65" s="171"/>
      <c r="Q65" s="31">
        <f t="shared" si="16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0"/>
        <v>0</v>
      </c>
      <c r="X65" s="408"/>
      <c r="Y65" s="371" t="s">
        <v>115</v>
      </c>
      <c r="Z65" s="484"/>
      <c r="AA65" s="203">
        <v>173112.30469000002</v>
      </c>
      <c r="AB65" s="204"/>
      <c r="AC65" s="204"/>
      <c r="AD65" s="205"/>
      <c r="AE65" s="32"/>
      <c r="AF65" s="53"/>
      <c r="AI65" s="103"/>
      <c r="AJ65" s="103"/>
      <c r="AK65" s="13"/>
      <c r="AL65" s="373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-47740</v>
      </c>
      <c r="M66" s="148"/>
      <c r="N66" s="148"/>
      <c r="O66" s="30" t="e">
        <f t="shared" si="15"/>
        <v>#DIV/0!</v>
      </c>
      <c r="P66" s="171"/>
      <c r="Q66" s="31">
        <f t="shared" si="16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0"/>
        <v>0</v>
      </c>
      <c r="X66" s="408"/>
      <c r="Y66" s="814" t="s">
        <v>116</v>
      </c>
      <c r="Z66" s="815"/>
      <c r="AA66" s="203">
        <v>41394.392600000006</v>
      </c>
      <c r="AB66" s="208"/>
      <c r="AC66" s="208"/>
      <c r="AD66" s="209"/>
      <c r="AE66" s="13"/>
      <c r="AF66" s="53"/>
      <c r="AI66" s="103"/>
      <c r="AJ66" s="103"/>
      <c r="AK66" s="213"/>
      <c r="AL66" s="374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7">+L66-K67</f>
        <v>-47740</v>
      </c>
      <c r="M67" s="148"/>
      <c r="N67" s="148"/>
      <c r="O67" s="30" t="e">
        <f t="shared" si="15"/>
        <v>#DIV/0!</v>
      </c>
      <c r="P67" s="171"/>
      <c r="Q67" s="31">
        <f t="shared" si="16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0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L67" s="1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7"/>
        <v>-47740</v>
      </c>
      <c r="M68" s="148"/>
      <c r="N68" s="148"/>
      <c r="O68" s="30" t="e">
        <f t="shared" si="15"/>
        <v>#DIV/0!</v>
      </c>
      <c r="P68" s="171"/>
      <c r="Q68" s="31">
        <f t="shared" si="16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0"/>
        <v>0</v>
      </c>
      <c r="X68" s="211"/>
      <c r="Y68" s="814" t="s">
        <v>188</v>
      </c>
      <c r="Z68" s="815"/>
      <c r="AA68" s="207">
        <f>Z9*Z30+AC61</f>
        <v>494324.97078709578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7"/>
        <v>-47740</v>
      </c>
      <c r="M69" s="148"/>
      <c r="N69" s="148"/>
      <c r="O69" s="30" t="e">
        <f t="shared" si="15"/>
        <v>#DIV/0!</v>
      </c>
      <c r="P69" s="171"/>
      <c r="Q69" s="31">
        <f t="shared" si="16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0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7"/>
        <v>-47740</v>
      </c>
      <c r="M70" s="148"/>
      <c r="N70" s="148"/>
      <c r="O70" s="30" t="e">
        <f t="shared" si="15"/>
        <v>#DIV/0!</v>
      </c>
      <c r="P70" s="171"/>
      <c r="Q70" s="31">
        <f t="shared" si="16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0"/>
        <v>0</v>
      </c>
      <c r="X70" s="211"/>
      <c r="Y70" s="213"/>
      <c r="Z70" s="232">
        <f>+Z61-2200</f>
        <v>210360</v>
      </c>
      <c r="AA70" s="213"/>
      <c r="AB70" s="213"/>
      <c r="AC70" s="213"/>
      <c r="AD70" s="233">
        <v>491197</v>
      </c>
      <c r="AE70" s="233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7"/>
        <v>-47740</v>
      </c>
      <c r="M71" s="148"/>
      <c r="N71" s="148"/>
      <c r="O71" s="30" t="e">
        <f t="shared" si="15"/>
        <v>#DIV/0!</v>
      </c>
      <c r="P71" s="171"/>
      <c r="Q71" s="31">
        <f t="shared" si="16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0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7"/>
        <v>-47740</v>
      </c>
      <c r="M72" s="148"/>
      <c r="N72" s="148"/>
      <c r="O72" s="30" t="e">
        <f t="shared" si="15"/>
        <v>#DIV/0!</v>
      </c>
      <c r="P72" s="171"/>
      <c r="Q72" s="31">
        <f t="shared" si="16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0"/>
        <v>0</v>
      </c>
      <c r="X72" s="211"/>
      <c r="Y72" s="214" t="s">
        <v>47</v>
      </c>
      <c r="Z72" s="215">
        <f>Z8</f>
        <v>41923</v>
      </c>
      <c r="AA72" s="818" t="s">
        <v>118</v>
      </c>
      <c r="AB72" s="818"/>
      <c r="AC72" s="818"/>
      <c r="AD72" s="216">
        <v>11.5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12.5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7"/>
        <v>-47740</v>
      </c>
      <c r="M73" s="148"/>
      <c r="N73" s="148"/>
      <c r="O73" s="30" t="e">
        <f t="shared" si="15"/>
        <v>#DIV/0!</v>
      </c>
      <c r="P73" s="171"/>
      <c r="Q73" s="31">
        <f t="shared" si="16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0"/>
        <v>0</v>
      </c>
      <c r="X73" s="211"/>
      <c r="Y73" s="214" t="s">
        <v>119</v>
      </c>
      <c r="Z73" s="480">
        <f>AD72</f>
        <v>11.5</v>
      </c>
      <c r="AA73" s="664" t="s">
        <v>120</v>
      </c>
      <c r="AB73" s="664"/>
      <c r="AC73" s="664"/>
      <c r="AD73" s="219">
        <f>24-AD72</f>
        <v>12.5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41280</v>
      </c>
      <c r="AO73" s="373">
        <f>AN73*AM72/24</f>
        <v>21500</v>
      </c>
      <c r="AP73" s="19">
        <f>21500*AD72/24</f>
        <v>10302.083333333334</v>
      </c>
      <c r="AQ73" s="19">
        <f>21500-AP73</f>
        <v>11197.916666666666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7"/>
        <v>-47740</v>
      </c>
      <c r="M74" s="148"/>
      <c r="N74" s="148"/>
      <c r="O74" s="30" t="e">
        <f t="shared" si="15"/>
        <v>#DIV/0!</v>
      </c>
      <c r="P74" s="171"/>
      <c r="Q74" s="31">
        <f t="shared" si="16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0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663" t="s">
        <v>127</v>
      </c>
      <c r="AK74" s="819"/>
      <c r="AL74" s="819"/>
      <c r="AM74" s="20" t="s">
        <v>232</v>
      </c>
      <c r="AN74" s="19">
        <f>Z79-AN73</f>
        <v>292003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7"/>
        <v>-47740</v>
      </c>
      <c r="M75" s="148"/>
      <c r="N75" s="148"/>
      <c r="O75" s="30" t="e">
        <f t="shared" si="15"/>
        <v>#DIV/0!</v>
      </c>
      <c r="P75" s="171"/>
      <c r="Q75" s="31">
        <f t="shared" si="16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0"/>
        <v>0</v>
      </c>
      <c r="X75" s="211"/>
      <c r="Y75" s="663" t="s">
        <v>121</v>
      </c>
      <c r="Z75" s="663" t="s">
        <v>122</v>
      </c>
      <c r="AA75" s="663" t="s">
        <v>123</v>
      </c>
      <c r="AB75" s="820" t="s">
        <v>124</v>
      </c>
      <c r="AC75" s="821"/>
      <c r="AD75" s="822"/>
      <c r="AE75" s="663" t="s">
        <v>125</v>
      </c>
      <c r="AF75" s="663" t="s">
        <v>126</v>
      </c>
      <c r="AG75" s="149"/>
      <c r="AH75" s="663" t="s">
        <v>121</v>
      </c>
      <c r="AI75" s="663"/>
      <c r="AJ75" s="214" t="s">
        <v>7</v>
      </c>
      <c r="AK75" s="236">
        <f>((+AD78-AA78)/$AD$73)*24</f>
        <v>95366.720000000001</v>
      </c>
      <c r="AL75" s="236">
        <f>AK75</f>
        <v>95366.720000000001</v>
      </c>
      <c r="AM75" s="20" t="s">
        <v>7</v>
      </c>
      <c r="AN75" s="19">
        <f>AD58</f>
        <v>89146.166666666672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7"/>
        <v>-47740</v>
      </c>
      <c r="M76" s="148"/>
      <c r="N76" s="148"/>
      <c r="O76" s="30" t="e">
        <f t="shared" si="15"/>
        <v>#DIV/0!</v>
      </c>
      <c r="P76" s="171"/>
      <c r="Q76" s="31">
        <f t="shared" si="16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0"/>
        <v>0</v>
      </c>
      <c r="X76" s="211"/>
      <c r="Y76" s="663"/>
      <c r="Z76" s="663"/>
      <c r="AA76" s="663"/>
      <c r="AB76" s="663"/>
      <c r="AC76" s="663"/>
      <c r="AD76" s="663"/>
      <c r="AE76" s="663"/>
      <c r="AF76" s="663"/>
      <c r="AG76" s="149"/>
      <c r="AH76" s="663"/>
      <c r="AI76" s="663"/>
      <c r="AJ76" s="214" t="s">
        <v>6</v>
      </c>
      <c r="AK76" s="236">
        <f>((+AD79-AA79)/$AD$73)*24</f>
        <v>405307.84000000008</v>
      </c>
      <c r="AL76" s="236">
        <f>+AK76</f>
        <v>405307.84000000008</v>
      </c>
      <c r="AM76" s="464"/>
      <c r="AN76" s="19">
        <f>SUM(AN73:AN75)</f>
        <v>422429.16666666669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7"/>
        <v>-47740</v>
      </c>
      <c r="M77" s="148"/>
      <c r="N77" s="148"/>
      <c r="O77" s="30" t="e">
        <f t="shared" si="15"/>
        <v>#DIV/0!</v>
      </c>
      <c r="P77" s="171"/>
      <c r="Q77" s="31">
        <f t="shared" si="16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0"/>
        <v>0</v>
      </c>
      <c r="X77" s="211"/>
      <c r="Y77" s="663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663"/>
      <c r="AI77" s="78"/>
      <c r="AJ77" s="214" t="s">
        <v>8</v>
      </c>
      <c r="AK77" s="236">
        <f>((+AD80-AA80)/$AD$73)*24</f>
        <v>5856</v>
      </c>
      <c r="AL77" s="236">
        <f>AK77</f>
        <v>5856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7"/>
        <v>-47740</v>
      </c>
      <c r="M78" s="148"/>
      <c r="N78" s="148"/>
      <c r="O78" s="30" t="e">
        <f t="shared" si="15"/>
        <v>#DIV/0!</v>
      </c>
      <c r="P78" s="171"/>
      <c r="Q78" s="31">
        <f t="shared" si="16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0"/>
        <v>0</v>
      </c>
      <c r="X78" s="211"/>
      <c r="Y78" s="214" t="s">
        <v>7</v>
      </c>
      <c r="Z78" s="224">
        <v>84952</v>
      </c>
      <c r="AA78" s="225">
        <v>39476</v>
      </c>
      <c r="AB78" s="226">
        <f t="shared" ref="AB78:AC80" si="23">+Z58</f>
        <v>21833.166666666668</v>
      </c>
      <c r="AC78" s="226">
        <f t="shared" si="23"/>
        <v>67313</v>
      </c>
      <c r="AD78" s="226">
        <f>+AB78+AC78+AB58+AC58</f>
        <v>89146.166666666672</v>
      </c>
      <c r="AE78" s="519">
        <f>+((AD58/24)*$AD$73)+AA78</f>
        <v>85906.295138888891</v>
      </c>
      <c r="AF78" s="227">
        <f>+AE78-AD78</f>
        <v>-3239.871527777781</v>
      </c>
      <c r="AG78" s="212"/>
      <c r="AH78" s="214" t="s">
        <v>7</v>
      </c>
      <c r="AI78" s="446">
        <f>+AA78</f>
        <v>39476</v>
      </c>
      <c r="AK78" s="231">
        <f>+SUM(AK75:AK77)</f>
        <v>506530.56000000006</v>
      </c>
      <c r="AL78" s="231">
        <f>+SUM(AL75:AL77)</f>
        <v>506530.56000000006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7"/>
        <v>-47740</v>
      </c>
      <c r="M79" s="148"/>
      <c r="N79" s="148"/>
      <c r="O79" s="30" t="e">
        <f t="shared" si="15"/>
        <v>#DIV/0!</v>
      </c>
      <c r="P79" s="171"/>
      <c r="Q79" s="31">
        <f t="shared" si="16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0"/>
        <v>0</v>
      </c>
      <c r="X79" s="211"/>
      <c r="Y79" s="214" t="s">
        <v>6</v>
      </c>
      <c r="Z79" s="224">
        <v>333283</v>
      </c>
      <c r="AA79" s="225">
        <v>158233</v>
      </c>
      <c r="AB79" s="226">
        <f t="shared" si="23"/>
        <v>190726.83333333334</v>
      </c>
      <c r="AC79" s="226">
        <f t="shared" si="23"/>
        <v>178604</v>
      </c>
      <c r="AD79" s="226">
        <f>+AB79+AC79+AB59</f>
        <v>369330.83333333337</v>
      </c>
      <c r="AE79" s="519">
        <f>+((AD59/24)*$AD$73)+AA79</f>
        <v>350592.80902777781</v>
      </c>
      <c r="AF79" s="227">
        <f>+AE79-AD79</f>
        <v>-18738.024305555562</v>
      </c>
      <c r="AG79" s="212"/>
      <c r="AH79" s="214" t="s">
        <v>6</v>
      </c>
      <c r="AI79" s="446">
        <f>+AA79</f>
        <v>158233</v>
      </c>
      <c r="AJ79" s="53"/>
      <c r="AK79" s="481">
        <v>536741</v>
      </c>
      <c r="AL79" s="481">
        <f>AK79-AK78</f>
        <v>30210.439999999944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7"/>
        <v>-47740</v>
      </c>
      <c r="M80" s="148"/>
      <c r="N80" s="234"/>
      <c r="O80" s="30" t="e">
        <f t="shared" si="15"/>
        <v>#DIV/0!</v>
      </c>
      <c r="P80" s="179"/>
      <c r="Q80" s="31">
        <f t="shared" si="16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0"/>
        <v>0</v>
      </c>
      <c r="X80" s="211"/>
      <c r="Y80" s="214" t="s">
        <v>8</v>
      </c>
      <c r="Z80" s="224">
        <v>72336</v>
      </c>
      <c r="AA80" s="225">
        <v>32746</v>
      </c>
      <c r="AB80" s="226">
        <f t="shared" si="23"/>
        <v>0</v>
      </c>
      <c r="AC80" s="226">
        <f t="shared" si="23"/>
        <v>35796</v>
      </c>
      <c r="AD80" s="226">
        <f>+AB80+AC80</f>
        <v>35796</v>
      </c>
      <c r="AE80" s="519">
        <f>+((AD60/24)*$AD$73)+AA80</f>
        <v>51389.75</v>
      </c>
      <c r="AF80" s="227">
        <f>+AE80-AD80</f>
        <v>15593.75</v>
      </c>
      <c r="AG80" s="149"/>
      <c r="AH80" s="214" t="s">
        <v>8</v>
      </c>
      <c r="AI80" s="447">
        <f>+AA80</f>
        <v>32746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7"/>
        <v>-47740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6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0"/>
        <v>0</v>
      </c>
      <c r="X81" s="211"/>
      <c r="Y81" s="228" t="s">
        <v>130</v>
      </c>
      <c r="Z81" s="229">
        <f t="shared" ref="Z81:AE81" si="24">SUM(Z78:Z80)</f>
        <v>490571</v>
      </c>
      <c r="AA81" s="230">
        <f t="shared" si="24"/>
        <v>230455</v>
      </c>
      <c r="AB81" s="229">
        <f t="shared" si="24"/>
        <v>212560</v>
      </c>
      <c r="AC81" s="229">
        <f t="shared" si="24"/>
        <v>281713</v>
      </c>
      <c r="AD81" s="229">
        <f t="shared" si="24"/>
        <v>494273.00000000006</v>
      </c>
      <c r="AE81" s="229">
        <f t="shared" si="24"/>
        <v>487888.85416666669</v>
      </c>
      <c r="AF81" s="227">
        <f>+SUM(AF78:AF80)</f>
        <v>-6384.145833333343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7"/>
        <v>-47740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0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7"/>
        <v>-47740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0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7"/>
        <v>-47740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0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7"/>
        <v>-47740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0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7"/>
        <v>-47740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0"/>
        <v>0</v>
      </c>
      <c r="Y86" s="14" t="s">
        <v>177</v>
      </c>
      <c r="Z86" s="336" t="s">
        <v>178</v>
      </c>
      <c r="AA86" s="337">
        <f>+AA81</f>
        <v>230455</v>
      </c>
      <c r="AB86" s="337">
        <f>AA87-AA86</f>
        <v>41734.729166666686</v>
      </c>
      <c r="AC86" s="42">
        <f>AB86*24/5.5</f>
        <v>182115.18181818191</v>
      </c>
      <c r="AD86" s="338">
        <f>AC86+353111</f>
        <v>535226.18181818188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7"/>
        <v>-47740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0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122656.00000000001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7"/>
        <v>-47740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0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7"/>
        <v>-47740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ref="W89:W103" si="27">+W88-V89</f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7"/>
        <v>-47740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2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7"/>
        <v>-47740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2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7"/>
        <v>-47740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27"/>
        <v>0</v>
      </c>
      <c r="Y92" s="882" t="s">
        <v>158</v>
      </c>
      <c r="Z92" s="586" t="s">
        <v>283</v>
      </c>
      <c r="AA92" s="587">
        <f>SUMIF($D$2:$D$57,"domiciliario",$I$2:$I$103)</f>
        <v>15391</v>
      </c>
      <c r="AB92" s="626">
        <f>SUMIF($D$2:$D$57,"domiciliario",$T$2:$T$103)</f>
        <v>15391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7"/>
        <v>-47740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27"/>
        <v>0</v>
      </c>
      <c r="Y93" s="883"/>
      <c r="Z93" s="588" t="s">
        <v>284</v>
      </c>
      <c r="AA93" s="589">
        <f>SUMIF($D$2:$D$57,"industrial",$I$2:$I$103)</f>
        <v>0</v>
      </c>
      <c r="AB93" s="627">
        <f>SUMIF($D$2:$D$57,"industrial",$T$2:$T$103)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7"/>
        <v>-47740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27"/>
        <v>0</v>
      </c>
      <c r="Y94" s="883"/>
      <c r="Z94" s="588" t="s">
        <v>80</v>
      </c>
      <c r="AA94" s="589">
        <f>SUMIF($D$2:$D$57,"gnv",$I$2:$I$103)</f>
        <v>333</v>
      </c>
      <c r="AB94" s="627">
        <f>SUMIF($D$2:$D$57,"gnv",$T$2:$T$103)</f>
        <v>333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7"/>
        <v>-47740</v>
      </c>
      <c r="M95" s="810"/>
      <c r="N95" s="810"/>
      <c r="O95" s="30">
        <f t="shared" ref="O95:O103" si="28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27"/>
        <v>0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10000</v>
      </c>
      <c r="AB95" s="627">
        <f>SUMIF($D$2:$D$57,"termico",$T$2:$T$103)+SUMIF($D$2:$D$57,"electrico",$T$2:$T$103)+SUMIF($D$2:$D$57,"térmico",$T$2:$T$103)</f>
        <v>6109.1666666666661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7"/>
        <v>-47740</v>
      </c>
      <c r="M96" s="810"/>
      <c r="N96" s="810"/>
      <c r="O96" s="30">
        <f t="shared" si="28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27"/>
        <v>0</v>
      </c>
      <c r="Y96" s="884"/>
      <c r="Z96" s="590" t="s">
        <v>286</v>
      </c>
      <c r="AA96" s="591"/>
      <c r="AB96" s="628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7"/>
        <v>-47740</v>
      </c>
      <c r="M97" s="810"/>
      <c r="N97" s="810"/>
      <c r="O97" s="30">
        <f t="shared" si="28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27"/>
        <v>0</v>
      </c>
      <c r="Y97" s="825" t="s">
        <v>154</v>
      </c>
      <c r="Z97" s="489" t="s">
        <v>283</v>
      </c>
      <c r="AA97" s="490">
        <f>SUMIF($D$2:$D$57,"domiciliario",$H$2:$H$103)</f>
        <v>32802</v>
      </c>
      <c r="AB97" s="629">
        <f>SUMIF($D$2:$D$57,"domiciliario",$S$2:$S$103)</f>
        <v>32802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7"/>
        <v>-47740</v>
      </c>
      <c r="M98" s="810"/>
      <c r="N98" s="810"/>
      <c r="O98" s="30">
        <f t="shared" si="28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27"/>
        <v>0</v>
      </c>
      <c r="Y98" s="826"/>
      <c r="Z98" s="492" t="s">
        <v>284</v>
      </c>
      <c r="AA98" s="493">
        <f>SUMIF($D$2:$D$57,"industrial",$H$2:$H$103)</f>
        <v>34000</v>
      </c>
      <c r="AB98" s="630">
        <f>SUMIF($D$2:$D$57,"industrial",$S$2:$S$103)</f>
        <v>32888.333333333336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7"/>
        <v>-47740</v>
      </c>
      <c r="M99" s="810"/>
      <c r="N99" s="810"/>
      <c r="O99" s="30">
        <f t="shared" si="28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27"/>
        <v>0</v>
      </c>
      <c r="Y99" s="826"/>
      <c r="Z99" s="492" t="s">
        <v>80</v>
      </c>
      <c r="AA99" s="493">
        <f>SUMIF($D$2:$D$57,"gnv",$H$2:$H$103)</f>
        <v>0</v>
      </c>
      <c r="AB99" s="630">
        <f>SUMIF($D$2:$D$57,"gnv",$S$2:$S$103)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7"/>
        <v>-47740</v>
      </c>
      <c r="M100" s="810"/>
      <c r="N100" s="810"/>
      <c r="O100" s="30">
        <f t="shared" si="28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27"/>
        <v>0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133374</v>
      </c>
      <c r="AB100" s="630">
        <f>SUMIF($D$2:$D$57,"termico",$S$2:$S$103)+SUMIF($D$2:$D$57,"electrico",$S$2:$S$103)+SUMIF($D$2:$D$57,"térmico",$S$2:$S$103)</f>
        <v>125036.5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7"/>
        <v>-47740</v>
      </c>
      <c r="M101" s="810"/>
      <c r="N101" s="810"/>
      <c r="O101" s="30">
        <f t="shared" si="28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27"/>
        <v>0</v>
      </c>
      <c r="Y101" s="827"/>
      <c r="Z101" s="592" t="s">
        <v>312</v>
      </c>
      <c r="AA101" s="500"/>
      <c r="AB101" s="631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7"/>
        <v>-47740</v>
      </c>
      <c r="M102" s="810"/>
      <c r="N102" s="810"/>
      <c r="O102" s="30">
        <f t="shared" si="28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27"/>
        <v>0</v>
      </c>
      <c r="Y102" s="622" t="s">
        <v>289</v>
      </c>
      <c r="Z102" s="623" t="s">
        <v>289</v>
      </c>
      <c r="AA102" s="624">
        <f>SUMIF($D$2:$D$57,"EXPORTACION",$J$2:$J$103)</f>
        <v>34400</v>
      </c>
      <c r="AB102" s="632">
        <f>SUMIF($D$2:$D$57,"EXPORTACION",$U$2:$U$103)</f>
        <v>0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7"/>
        <v>-47740</v>
      </c>
      <c r="M103" s="810"/>
      <c r="N103" s="810"/>
      <c r="O103" s="30">
        <f t="shared" si="28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2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200176</v>
      </c>
      <c r="I105" s="252">
        <f>+SUM(I2:I103)</f>
        <v>25724</v>
      </c>
      <c r="J105" s="252">
        <f>+SUM(J2:J103)</f>
        <v>34400</v>
      </c>
      <c r="K105" s="252">
        <f>SUM(K2:K103)</f>
        <v>260300</v>
      </c>
      <c r="L105" s="253">
        <f>+L103</f>
        <v>-47740</v>
      </c>
      <c r="M105" s="252">
        <f>SUM(M2:M103)</f>
        <v>0</v>
      </c>
      <c r="N105" s="252">
        <f>SUM(N2:N103)</f>
        <v>260300</v>
      </c>
      <c r="O105" s="252"/>
      <c r="P105" s="252">
        <f>SUM(P2:P103)</f>
        <v>10660</v>
      </c>
      <c r="Q105" s="252">
        <f>SUM(Q2:Q103)</f>
        <v>0</v>
      </c>
      <c r="R105" s="252">
        <f>SUM(R2:R103)</f>
        <v>-47740</v>
      </c>
      <c r="S105" s="252">
        <f>SUM(S2:S103)</f>
        <v>190726.83333333334</v>
      </c>
      <c r="T105" s="252">
        <f>+SUM(T2:T103)</f>
        <v>21833.166666666668</v>
      </c>
      <c r="U105" s="252">
        <f>SUM(U2:U103)</f>
        <v>0</v>
      </c>
      <c r="V105" s="252">
        <f>SUM(V2:V103)</f>
        <v>212560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255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/>
      <c r="J108" s="255"/>
      <c r="K108" s="667">
        <f>K105-K107</f>
        <v>239800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29" priority="3" operator="lessThan">
      <formula>$AA$78</formula>
    </cfRule>
    <cfRule type="cellIs" dxfId="128" priority="5" operator="greaterThan">
      <formula>$AE$78</formula>
    </cfRule>
  </conditionalFormatting>
  <conditionalFormatting sqref="AA79">
    <cfRule type="cellIs" dxfId="127" priority="4" operator="greaterThan">
      <formula>$AE$79</formula>
    </cfRule>
  </conditionalFormatting>
  <conditionalFormatting sqref="AA80">
    <cfRule type="cellIs" dxfId="126" priority="2" operator="greaterThan">
      <formula>$AE$79</formula>
    </cfRule>
  </conditionalFormatting>
  <conditionalFormatting sqref="AU4:AU23">
    <cfRule type="cellIs" dxfId="125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2060"/>
  </sheetPr>
  <dimension ref="A1:AX186"/>
  <sheetViews>
    <sheetView topLeftCell="W30" zoomScale="80" zoomScaleNormal="80" workbookViewId="0">
      <selection activeCell="AD62" sqref="AD62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60">
        <v>3000</v>
      </c>
      <c r="I2" s="26">
        <v>0</v>
      </c>
      <c r="J2" s="26"/>
      <c r="K2" s="27">
        <f>SUM(H2:J2)</f>
        <v>3000</v>
      </c>
      <c r="L2" s="28">
        <f>AA4-K2</f>
        <v>202999</v>
      </c>
      <c r="M2" s="29"/>
      <c r="N2" s="798">
        <f>SUM(K2:K26)</f>
        <v>189100</v>
      </c>
      <c r="O2" s="30">
        <f>+K2/$N$2</f>
        <v>1.5864621893178214E-2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202999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670" t="s">
        <v>31</v>
      </c>
      <c r="AE2" s="670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60">
        <v>1100</v>
      </c>
      <c r="J3" s="26"/>
      <c r="K3" s="27">
        <f t="shared" ref="K3:K73" si="0">SUM(H3:J3)</f>
        <v>1100</v>
      </c>
      <c r="L3" s="28">
        <f t="shared" ref="L3:L66" si="1">+L2-K3</f>
        <v>201899</v>
      </c>
      <c r="M3" s="29"/>
      <c r="N3" s="799"/>
      <c r="O3" s="30">
        <f t="shared" ref="O3:O29" si="2">+K3/$N$2</f>
        <v>5.8170280274986779E-3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201899</v>
      </c>
      <c r="X3" s="32">
        <f t="shared" ref="X3:X56" si="9">W3-L3</f>
        <v>0</v>
      </c>
      <c r="Y3" s="37" t="s">
        <v>34</v>
      </c>
      <c r="Z3" s="38">
        <f>ROUND((Z13*57%),0)</f>
        <v>273828</v>
      </c>
      <c r="AA3" s="39">
        <f>ROUND((+Z14*0.57),0)</f>
        <v>273068</v>
      </c>
      <c r="AB3" s="454">
        <v>62619</v>
      </c>
      <c r="AC3" s="455">
        <v>156625</v>
      </c>
      <c r="AD3" s="40">
        <v>53776</v>
      </c>
      <c r="AE3" s="41">
        <f>SUM(AB3:AD3)</f>
        <v>273020</v>
      </c>
      <c r="AF3" s="41">
        <f>AA3-AE3</f>
        <v>48</v>
      </c>
      <c r="AG3" s="641">
        <f>AA3-AB3-AC3-AD3</f>
        <v>48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26">
        <v>2400</v>
      </c>
      <c r="J4" s="26"/>
      <c r="K4" s="27">
        <f t="shared" si="0"/>
        <v>2400</v>
      </c>
      <c r="L4" s="28">
        <f t="shared" si="1"/>
        <v>199499</v>
      </c>
      <c r="M4" s="29"/>
      <c r="N4" s="799"/>
      <c r="O4" s="30">
        <f t="shared" si="2"/>
        <v>1.269169751454257E-2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2400</v>
      </c>
      <c r="U4" s="28">
        <f t="shared" si="6"/>
        <v>0</v>
      </c>
      <c r="V4" s="28">
        <f t="shared" si="7"/>
        <v>2400</v>
      </c>
      <c r="W4" s="31">
        <f t="shared" si="8"/>
        <v>199499</v>
      </c>
      <c r="X4" s="32">
        <f t="shared" si="9"/>
        <v>0</v>
      </c>
      <c r="Y4" s="37" t="s">
        <v>38</v>
      </c>
      <c r="Z4" s="38">
        <f>ROUND((Z13*43%),0)</f>
        <v>206572</v>
      </c>
      <c r="AA4" s="39">
        <f>ROUND((+Z14*0.43),0)</f>
        <v>205999</v>
      </c>
      <c r="AB4" s="43">
        <f>T105</f>
        <v>17880</v>
      </c>
      <c r="AC4" s="43">
        <f>S105</f>
        <v>175820</v>
      </c>
      <c r="AD4" s="40">
        <f>U105</f>
        <v>12299</v>
      </c>
      <c r="AE4" s="41">
        <f>SUM(AB4:AD4)</f>
        <v>205999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60">
        <v>1200</v>
      </c>
      <c r="J5" s="26"/>
      <c r="K5" s="27">
        <f t="shared" si="0"/>
        <v>1200</v>
      </c>
      <c r="L5" s="28">
        <f t="shared" si="1"/>
        <v>198299</v>
      </c>
      <c r="M5" s="29"/>
      <c r="N5" s="799"/>
      <c r="O5" s="30">
        <f t="shared" si="2"/>
        <v>6.345848757271285E-3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198299</v>
      </c>
      <c r="X5" s="32">
        <f t="shared" si="9"/>
        <v>0</v>
      </c>
      <c r="Y5" s="44" t="s">
        <v>41</v>
      </c>
      <c r="Z5" s="38">
        <f>SUM(Z3:Z4)</f>
        <v>480400</v>
      </c>
      <c r="AA5" s="45">
        <f>SUM(AA3:AA4)</f>
        <v>479067</v>
      </c>
      <c r="AB5" s="46">
        <f>SUM(AB3:AB4)</f>
        <v>80499</v>
      </c>
      <c r="AC5" s="41">
        <f>SUM(AC3:AC4)</f>
        <v>332445</v>
      </c>
      <c r="AD5" s="40">
        <f>SUM(AD3:AD4)</f>
        <v>66075</v>
      </c>
      <c r="AE5" s="41">
        <f>SUM(AB5:AD5)</f>
        <v>479019</v>
      </c>
      <c r="AF5" s="47">
        <f>SUM(AF3:AF4)</f>
        <v>48</v>
      </c>
      <c r="AG5" s="642">
        <f>SUM(AG3:AG4)</f>
        <v>48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60">
        <v>12000</v>
      </c>
      <c r="I6" s="26"/>
      <c r="J6" s="26"/>
      <c r="K6" s="27">
        <f t="shared" si="0"/>
        <v>12000</v>
      </c>
      <c r="L6" s="28">
        <f t="shared" si="1"/>
        <v>186299</v>
      </c>
      <c r="M6" s="29"/>
      <c r="N6" s="799"/>
      <c r="O6" s="30">
        <f t="shared" si="2"/>
        <v>6.3458487572712857E-2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186299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60">
        <f>12389+1796</f>
        <v>14185</v>
      </c>
      <c r="I7" s="560">
        <f>2411+604+800</f>
        <v>3815</v>
      </c>
      <c r="J7" s="26"/>
      <c r="K7" s="27">
        <f t="shared" si="0"/>
        <v>18000</v>
      </c>
      <c r="L7" s="28">
        <f t="shared" si="1"/>
        <v>168299</v>
      </c>
      <c r="M7" s="29"/>
      <c r="N7" s="799"/>
      <c r="O7" s="30">
        <f t="shared" si="2"/>
        <v>9.5187731359069272E-2</v>
      </c>
      <c r="P7" s="802"/>
      <c r="Q7" s="31">
        <f t="shared" si="3"/>
        <v>0</v>
      </c>
      <c r="R7" s="31"/>
      <c r="S7" s="28">
        <f t="shared" si="4"/>
        <v>14185</v>
      </c>
      <c r="T7" s="28">
        <f t="shared" si="5"/>
        <v>3815</v>
      </c>
      <c r="U7" s="28">
        <f t="shared" si="6"/>
        <v>0</v>
      </c>
      <c r="V7" s="28">
        <f t="shared" si="7"/>
        <v>18000</v>
      </c>
      <c r="W7" s="31">
        <f t="shared" si="8"/>
        <v>168299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8176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60">
        <v>2500</v>
      </c>
      <c r="I8" s="26"/>
      <c r="J8" s="26"/>
      <c r="K8" s="27">
        <f t="shared" si="0"/>
        <v>2500</v>
      </c>
      <c r="L8" s="28">
        <f t="shared" si="1"/>
        <v>165799</v>
      </c>
      <c r="M8" s="29"/>
      <c r="N8" s="799"/>
      <c r="O8" s="30">
        <f t="shared" si="2"/>
        <v>1.3220518244315178E-2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165799</v>
      </c>
      <c r="X8" s="32">
        <f t="shared" si="9"/>
        <v>0</v>
      </c>
      <c r="Y8" s="14" t="s">
        <v>47</v>
      </c>
      <c r="Z8" s="54">
        <v>41924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60">
        <v>1082</v>
      </c>
      <c r="I9" s="560">
        <v>1118</v>
      </c>
      <c r="J9" s="26"/>
      <c r="K9" s="27">
        <f t="shared" si="0"/>
        <v>2200</v>
      </c>
      <c r="L9" s="28">
        <f t="shared" si="1"/>
        <v>163599</v>
      </c>
      <c r="M9" s="29"/>
      <c r="N9" s="799"/>
      <c r="O9" s="30">
        <f t="shared" si="2"/>
        <v>1.1634056054997356E-2</v>
      </c>
      <c r="P9" s="802"/>
      <c r="Q9" s="31">
        <f t="shared" si="3"/>
        <v>0</v>
      </c>
      <c r="R9" s="31"/>
      <c r="S9" s="28">
        <f t="shared" si="4"/>
        <v>1082</v>
      </c>
      <c r="T9" s="28">
        <f t="shared" si="5"/>
        <v>1118</v>
      </c>
      <c r="U9" s="28">
        <f t="shared" si="6"/>
        <v>0</v>
      </c>
      <c r="V9" s="28">
        <f t="shared" si="7"/>
        <v>2200</v>
      </c>
      <c r="W9" s="31">
        <f t="shared" si="8"/>
        <v>163599</v>
      </c>
      <c r="X9" s="32">
        <f t="shared" si="9"/>
        <v>0</v>
      </c>
      <c r="Y9" s="14" t="s">
        <v>189</v>
      </c>
      <c r="Z9" s="58">
        <f>480400-AB9</f>
        <v>480400</v>
      </c>
      <c r="AA9" s="59">
        <f>Z9*14.65/14.73</f>
        <v>477790.90291921247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-103924.99999999999</v>
      </c>
      <c r="AG9" s="49"/>
      <c r="AH9" s="651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60">
        <v>19000</v>
      </c>
      <c r="I10" s="560">
        <v>1000</v>
      </c>
      <c r="J10" s="26"/>
      <c r="K10" s="27">
        <f t="shared" si="0"/>
        <v>20000</v>
      </c>
      <c r="L10" s="28">
        <f t="shared" si="1"/>
        <v>143599</v>
      </c>
      <c r="M10" s="29"/>
      <c r="N10" s="799"/>
      <c r="O10" s="30">
        <f t="shared" si="2"/>
        <v>0.10576414595452142</v>
      </c>
      <c r="P10" s="802"/>
      <c r="Q10" s="31">
        <f t="shared" si="3"/>
        <v>0</v>
      </c>
      <c r="R10" s="31">
        <v>0</v>
      </c>
      <c r="S10" s="28">
        <f t="shared" si="4"/>
        <v>19000</v>
      </c>
      <c r="T10" s="28">
        <f t="shared" si="5"/>
        <v>1000</v>
      </c>
      <c r="U10" s="28">
        <f t="shared" si="6"/>
        <v>0</v>
      </c>
      <c r="V10" s="28">
        <f t="shared" si="7"/>
        <v>20000</v>
      </c>
      <c r="W10" s="31">
        <f t="shared" si="8"/>
        <v>143599</v>
      </c>
      <c r="X10" s="32">
        <f t="shared" si="9"/>
        <v>0</v>
      </c>
      <c r="Y10" s="14" t="s">
        <v>191</v>
      </c>
      <c r="Z10" s="58">
        <f>ROUND((Z9*Z30),0)</f>
        <v>479067</v>
      </c>
      <c r="AA10" s="59">
        <f>Z10*14.65/14.73</f>
        <v>476465.14256619144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-60801</v>
      </c>
      <c r="AG10" s="62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60">
        <v>18000</v>
      </c>
      <c r="I11" s="26"/>
      <c r="J11" s="26"/>
      <c r="K11" s="27">
        <f t="shared" si="0"/>
        <v>18000</v>
      </c>
      <c r="L11" s="28">
        <f t="shared" si="1"/>
        <v>125599</v>
      </c>
      <c r="M11" s="29"/>
      <c r="N11" s="799"/>
      <c r="O11" s="30">
        <f t="shared" si="2"/>
        <v>9.5187731359069272E-2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125599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-43123.999999999985</v>
      </c>
      <c r="AG11" s="62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60">
        <v>3600</v>
      </c>
      <c r="I12" s="26"/>
      <c r="J12" s="26"/>
      <c r="K12" s="27">
        <f t="shared" si="0"/>
        <v>3600</v>
      </c>
      <c r="L12" s="28">
        <f t="shared" si="1"/>
        <v>121999</v>
      </c>
      <c r="M12" s="29"/>
      <c r="N12" s="799"/>
      <c r="O12" s="30">
        <f t="shared" si="2"/>
        <v>1.9037546271813855E-2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121999</v>
      </c>
      <c r="X12" s="32">
        <f t="shared" si="9"/>
        <v>0</v>
      </c>
      <c r="Y12" s="14" t="s">
        <v>64</v>
      </c>
      <c r="Z12" s="58"/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60">
        <v>6000</v>
      </c>
      <c r="I13" s="26">
        <v>0</v>
      </c>
      <c r="J13" s="26"/>
      <c r="K13" s="27">
        <f t="shared" si="0"/>
        <v>6000</v>
      </c>
      <c r="L13" s="28">
        <f t="shared" si="1"/>
        <v>115999</v>
      </c>
      <c r="M13" s="29"/>
      <c r="N13" s="799"/>
      <c r="O13" s="30">
        <f t="shared" si="2"/>
        <v>3.1729243786356429E-2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115999</v>
      </c>
      <c r="X13" s="32">
        <f t="shared" si="9"/>
        <v>0</v>
      </c>
      <c r="Y13" s="14" t="s">
        <v>67</v>
      </c>
      <c r="Z13" s="67">
        <f>Z14/Z30</f>
        <v>480399.58718225284</v>
      </c>
      <c r="AA13" s="35"/>
      <c r="AB13" s="35"/>
      <c r="AC13" s="35"/>
      <c r="AD13" s="57"/>
      <c r="AE13" s="57"/>
      <c r="AF13" s="35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26">
        <v>0</v>
      </c>
      <c r="I14" s="26">
        <v>0</v>
      </c>
      <c r="J14" s="26"/>
      <c r="K14" s="27">
        <f t="shared" si="0"/>
        <v>0</v>
      </c>
      <c r="L14" s="28">
        <f t="shared" si="1"/>
        <v>115999</v>
      </c>
      <c r="M14" s="29"/>
      <c r="N14" s="799"/>
      <c r="O14" s="30">
        <f t="shared" si="2"/>
        <v>0</v>
      </c>
      <c r="P14" s="802"/>
      <c r="Q14" s="31">
        <f t="shared" si="3"/>
        <v>0</v>
      </c>
      <c r="R14" s="31">
        <v>0</v>
      </c>
      <c r="S14" s="28">
        <f t="shared" si="4"/>
        <v>0</v>
      </c>
      <c r="T14" s="28">
        <f t="shared" si="5"/>
        <v>0</v>
      </c>
      <c r="U14" s="28">
        <f t="shared" si="6"/>
        <v>0</v>
      </c>
      <c r="V14" s="28">
        <f t="shared" si="7"/>
        <v>0</v>
      </c>
      <c r="W14" s="31">
        <f t="shared" si="8"/>
        <v>115999</v>
      </c>
      <c r="X14" s="32">
        <f t="shared" si="9"/>
        <v>0</v>
      </c>
      <c r="Y14" s="14" t="s">
        <v>70</v>
      </c>
      <c r="Z14" s="67">
        <f>+Z10-(Z11+Z12)</f>
        <v>479067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60">
        <v>17200</v>
      </c>
      <c r="I15" s="26"/>
      <c r="J15" s="26"/>
      <c r="K15" s="27">
        <f t="shared" si="0"/>
        <v>17200</v>
      </c>
      <c r="L15" s="28">
        <f t="shared" si="1"/>
        <v>98799</v>
      </c>
      <c r="M15" s="29"/>
      <c r="N15" s="799"/>
      <c r="O15" s="30">
        <f t="shared" si="2"/>
        <v>9.0957165520888422E-2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98799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60">
        <v>20500</v>
      </c>
      <c r="I16" s="26"/>
      <c r="J16" s="26"/>
      <c r="K16" s="27">
        <f t="shared" si="0"/>
        <v>20500</v>
      </c>
      <c r="L16" s="28">
        <f t="shared" si="1"/>
        <v>78299</v>
      </c>
      <c r="M16" s="29"/>
      <c r="N16" s="799"/>
      <c r="O16" s="30">
        <f t="shared" si="2"/>
        <v>0.10840824960338445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78299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60">
        <v>3500</v>
      </c>
      <c r="I17" s="560">
        <v>0</v>
      </c>
      <c r="J17" s="26"/>
      <c r="K17" s="27">
        <f t="shared" si="0"/>
        <v>3500</v>
      </c>
      <c r="L17" s="28">
        <f t="shared" si="1"/>
        <v>74799</v>
      </c>
      <c r="M17" s="29"/>
      <c r="N17" s="799"/>
      <c r="O17" s="30">
        <f t="shared" si="2"/>
        <v>1.8508725542041249E-2</v>
      </c>
      <c r="P17" s="802"/>
      <c r="Q17" s="31">
        <f t="shared" si="3"/>
        <v>0</v>
      </c>
      <c r="R17" s="31">
        <v>0</v>
      </c>
      <c r="S17" s="28">
        <f t="shared" si="4"/>
        <v>3500</v>
      </c>
      <c r="T17" s="28">
        <f t="shared" si="5"/>
        <v>0</v>
      </c>
      <c r="U17" s="28">
        <f t="shared" si="6"/>
        <v>0</v>
      </c>
      <c r="V17" s="28">
        <f t="shared" si="7"/>
        <v>3500</v>
      </c>
      <c r="W17" s="31">
        <f t="shared" si="8"/>
        <v>74799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60">
        <v>247</v>
      </c>
      <c r="J18" s="26"/>
      <c r="K18" s="27">
        <f t="shared" si="0"/>
        <v>247</v>
      </c>
      <c r="L18" s="28">
        <f t="shared" si="1"/>
        <v>74552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247</v>
      </c>
      <c r="U18" s="28">
        <f t="shared" si="6"/>
        <v>0</v>
      </c>
      <c r="V18" s="28">
        <f t="shared" si="7"/>
        <v>247</v>
      </c>
      <c r="W18" s="31">
        <f t="shared" si="8"/>
        <v>74552</v>
      </c>
      <c r="X18" s="32"/>
      <c r="Y18" s="14" t="s">
        <v>77</v>
      </c>
      <c r="Z18" s="71">
        <f>ROUND(Z14*0.43,0)</f>
        <v>205999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60">
        <v>2253</v>
      </c>
      <c r="I19" s="26"/>
      <c r="J19" s="26"/>
      <c r="K19" s="27">
        <f t="shared" si="0"/>
        <v>2253</v>
      </c>
      <c r="L19" s="28">
        <f t="shared" si="1"/>
        <v>72299</v>
      </c>
      <c r="M19" s="29"/>
      <c r="N19" s="799"/>
      <c r="O19" s="30">
        <f t="shared" si="2"/>
        <v>1.1914331041776837E-2</v>
      </c>
      <c r="P19" s="802"/>
      <c r="Q19" s="31">
        <f t="shared" si="3"/>
        <v>0</v>
      </c>
      <c r="R19" s="31">
        <v>0</v>
      </c>
      <c r="S19" s="28">
        <f t="shared" si="4"/>
        <v>2253</v>
      </c>
      <c r="T19" s="28">
        <f t="shared" si="5"/>
        <v>0</v>
      </c>
      <c r="U19" s="28">
        <f t="shared" si="6"/>
        <v>0</v>
      </c>
      <c r="V19" s="28">
        <f t="shared" si="7"/>
        <v>2253</v>
      </c>
      <c r="W19" s="31">
        <f t="shared" si="8"/>
        <v>72299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60">
        <v>1500</v>
      </c>
      <c r="I20" s="26">
        <v>0</v>
      </c>
      <c r="J20" s="26"/>
      <c r="K20" s="27">
        <f t="shared" si="0"/>
        <v>1500</v>
      </c>
      <c r="L20" s="28">
        <f t="shared" si="1"/>
        <v>70799</v>
      </c>
      <c r="M20" s="29"/>
      <c r="N20" s="799"/>
      <c r="O20" s="30">
        <f t="shared" si="2"/>
        <v>7.9323109465891072E-3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70799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70799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70799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60">
        <v>7500</v>
      </c>
      <c r="I22" s="26">
        <v>0</v>
      </c>
      <c r="J22" s="26"/>
      <c r="K22" s="27">
        <f t="shared" si="0"/>
        <v>7500</v>
      </c>
      <c r="L22" s="28">
        <f t="shared" si="1"/>
        <v>63299</v>
      </c>
      <c r="M22" s="29"/>
      <c r="N22" s="799"/>
      <c r="O22" s="30">
        <f t="shared" si="2"/>
        <v>3.9661554732945532E-2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63299</v>
      </c>
      <c r="X22" s="32">
        <f t="shared" si="9"/>
        <v>0</v>
      </c>
      <c r="Y22" s="14"/>
      <c r="Z22" s="72"/>
      <c r="AE22" s="76"/>
      <c r="AF22" s="51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63299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63299</v>
      </c>
      <c r="X23" s="32"/>
      <c r="Y23" s="14"/>
      <c r="Z23" s="72"/>
      <c r="AE23" s="76"/>
      <c r="AF23" s="51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63299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63299</v>
      </c>
      <c r="X24" s="32">
        <f t="shared" si="9"/>
        <v>0</v>
      </c>
      <c r="Y24" s="74" t="s">
        <v>169</v>
      </c>
      <c r="Z24" s="75">
        <f>+Z18+Z19</f>
        <v>205999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60">
        <v>12000</v>
      </c>
      <c r="I25" s="26"/>
      <c r="J25" s="26"/>
      <c r="K25" s="27">
        <f t="shared" si="0"/>
        <v>12000</v>
      </c>
      <c r="L25" s="28">
        <f t="shared" si="1"/>
        <v>51299</v>
      </c>
      <c r="M25" s="29"/>
      <c r="N25" s="799"/>
      <c r="O25" s="30">
        <f t="shared" si="2"/>
        <v>6.3458487572712857E-2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51299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66">
        <v>34400</v>
      </c>
      <c r="K26" s="442">
        <f t="shared" si="0"/>
        <v>34400</v>
      </c>
      <c r="L26" s="28">
        <f t="shared" si="1"/>
        <v>16899</v>
      </c>
      <c r="M26" s="86"/>
      <c r="N26" s="800"/>
      <c r="O26" s="87">
        <f t="shared" si="2"/>
        <v>0.18191433104177684</v>
      </c>
      <c r="P26" s="803"/>
      <c r="Q26" s="144">
        <f t="shared" si="3"/>
        <v>0</v>
      </c>
      <c r="R26" s="144">
        <v>-22101</v>
      </c>
      <c r="S26" s="423">
        <f t="shared" si="4"/>
        <v>0</v>
      </c>
      <c r="T26" s="423">
        <f t="shared" si="5"/>
        <v>0</v>
      </c>
      <c r="U26" s="423">
        <f t="shared" si="6"/>
        <v>12299</v>
      </c>
      <c r="V26" s="423">
        <f t="shared" si="7"/>
        <v>12299</v>
      </c>
      <c r="W26" s="31">
        <f t="shared" si="8"/>
        <v>39000</v>
      </c>
      <c r="X26" s="32">
        <f t="shared" si="9"/>
        <v>22101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16899</v>
      </c>
      <c r="M27" s="95"/>
      <c r="N27" s="804">
        <f>SUM(K27:K49)</f>
        <v>30000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8"/>
        <v>39000</v>
      </c>
      <c r="X27" s="32">
        <f t="shared" si="9"/>
        <v>22101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16899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39000</v>
      </c>
      <c r="X28" s="32">
        <f t="shared" si="9"/>
        <v>22101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47901</v>
      </c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16899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39000</v>
      </c>
      <c r="X29" s="32">
        <f t="shared" si="9"/>
        <v>22101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16899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39000</v>
      </c>
      <c r="X30" s="32">
        <f t="shared" si="9"/>
        <v>22101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16899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39000</v>
      </c>
      <c r="X31" s="32">
        <f t="shared" si="9"/>
        <v>22101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16899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39000</v>
      </c>
      <c r="X32" s="32">
        <f t="shared" si="9"/>
        <v>22101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16899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39000</v>
      </c>
      <c r="X33" s="32">
        <f t="shared" si="9"/>
        <v>22101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16899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39000</v>
      </c>
      <c r="X34" s="32">
        <f t="shared" si="9"/>
        <v>22101</v>
      </c>
      <c r="Y34" s="806"/>
      <c r="Z34" s="112">
        <v>100000</v>
      </c>
      <c r="AA34" s="113">
        <f>AD5-Z34</f>
        <v>-33925</v>
      </c>
      <c r="AB34" s="113">
        <f>Z34+AA34</f>
        <v>66075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16899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39000</v>
      </c>
      <c r="X35" s="32">
        <f>W35-L35</f>
        <v>22101</v>
      </c>
      <c r="Y35" s="117" t="s">
        <v>56</v>
      </c>
      <c r="Z35" s="113">
        <f>Z34*43%</f>
        <v>43000</v>
      </c>
      <c r="AA35" s="113">
        <f>AD4-Z35</f>
        <v>-30701</v>
      </c>
      <c r="AB35" s="113">
        <f>Z35+AA35</f>
        <v>12299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16899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39000</v>
      </c>
      <c r="X36" s="32">
        <f t="shared" si="9"/>
        <v>22101</v>
      </c>
      <c r="Y36" s="117" t="s">
        <v>60</v>
      </c>
      <c r="Z36" s="113">
        <f>Z34*57%</f>
        <v>56999.999999999993</v>
      </c>
      <c r="AA36" s="113">
        <f>AD3-Z36</f>
        <v>-3223.9999999999927</v>
      </c>
      <c r="AB36" s="113">
        <f>Z36+AA36</f>
        <v>53776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16899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39000</v>
      </c>
      <c r="X37" s="32">
        <f t="shared" si="9"/>
        <v>22101</v>
      </c>
      <c r="Y37" s="117" t="s">
        <v>94</v>
      </c>
      <c r="Z37" s="113">
        <f>+Z35+Z36</f>
        <v>100000</v>
      </c>
      <c r="AA37" s="113">
        <f>SUM(AA35:AA36)</f>
        <v>-33924.999999999993</v>
      </c>
      <c r="AB37" s="113">
        <f>Z37+AA37</f>
        <v>66075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>
        <v>20000</v>
      </c>
      <c r="I38" s="26"/>
      <c r="J38" s="26"/>
      <c r="K38" s="27">
        <f t="shared" si="0"/>
        <v>20000</v>
      </c>
      <c r="L38" s="28">
        <f>+L37-K38</f>
        <v>-3101</v>
      </c>
      <c r="M38" s="29"/>
      <c r="N38" s="799"/>
      <c r="O38" s="30">
        <f t="shared" si="10"/>
        <v>0.66666666666666663</v>
      </c>
      <c r="P38" s="802"/>
      <c r="Q38" s="31">
        <f t="shared" si="11"/>
        <v>0</v>
      </c>
      <c r="R38" s="31"/>
      <c r="S38" s="28">
        <f t="shared" si="4"/>
        <v>20000</v>
      </c>
      <c r="T38" s="28">
        <f t="shared" si="5"/>
        <v>0</v>
      </c>
      <c r="U38" s="28">
        <f t="shared" si="6"/>
        <v>0</v>
      </c>
      <c r="V38" s="28">
        <f t="shared" si="7"/>
        <v>20000</v>
      </c>
      <c r="W38" s="31">
        <f t="shared" si="8"/>
        <v>19000</v>
      </c>
      <c r="X38" s="32">
        <f t="shared" si="9"/>
        <v>22101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-3101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19000</v>
      </c>
      <c r="X39" s="32">
        <f t="shared" si="9"/>
        <v>22101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-3101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19000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-3101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19000</v>
      </c>
      <c r="X41" s="32">
        <f t="shared" si="9"/>
        <v>22101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-3101</v>
      </c>
      <c r="M42" s="29"/>
      <c r="N42" s="799"/>
      <c r="O42" s="30">
        <f t="shared" si="10"/>
        <v>0</v>
      </c>
      <c r="P42" s="802"/>
      <c r="Q42" s="31">
        <f t="shared" si="11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8"/>
        <v>19000</v>
      </c>
      <c r="X42" s="32">
        <f t="shared" si="9"/>
        <v>22101</v>
      </c>
      <c r="Y42" s="74" t="s">
        <v>96</v>
      </c>
      <c r="Z42" s="75">
        <v>35500</v>
      </c>
      <c r="AA42" s="129">
        <f>+H7+H8+H17+H18+H19+H22+H32+H33+H43+H44+H45+H53</f>
        <v>31938</v>
      </c>
      <c r="AB42" s="129">
        <f>+I7+I8+I17+I18+I19+I22+I32+I33+I43+I44+I45+I53</f>
        <v>4062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-3101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19000</v>
      </c>
      <c r="X43" s="32">
        <f t="shared" si="9"/>
        <v>22101</v>
      </c>
      <c r="Y43" s="131" t="s">
        <v>97</v>
      </c>
      <c r="Z43" s="132">
        <v>50000</v>
      </c>
      <c r="AA43" s="133">
        <f>+H10+H11+H25+H35+H36+H47</f>
        <v>49000</v>
      </c>
      <c r="AB43" s="133">
        <f>+I10+I11+I25+I35+I36+I47</f>
        <v>1000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-3101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19000</v>
      </c>
      <c r="X44" s="32">
        <f t="shared" si="9"/>
        <v>22101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-3101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19000</v>
      </c>
      <c r="X45" s="32">
        <f t="shared" si="9"/>
        <v>22101</v>
      </c>
      <c r="Y45" s="131" t="s">
        <v>98</v>
      </c>
      <c r="Z45" s="132">
        <v>9600</v>
      </c>
      <c r="AA45" s="133">
        <f>+H12+H13+H37+H38</f>
        <v>29600</v>
      </c>
      <c r="AB45" s="133">
        <f>+I12+I13+I37+I38</f>
        <v>0</v>
      </c>
      <c r="AC45" s="133">
        <f>+AA45+AB45</f>
        <v>29600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60">
        <v>10000</v>
      </c>
      <c r="I46" s="26"/>
      <c r="J46" s="26"/>
      <c r="K46" s="27">
        <f t="shared" si="0"/>
        <v>10000</v>
      </c>
      <c r="L46" s="28">
        <f>+L45-K46</f>
        <v>-13101</v>
      </c>
      <c r="M46" s="29"/>
      <c r="N46" s="799"/>
      <c r="O46" s="30">
        <f t="shared" si="10"/>
        <v>0.33333333333333331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9000</v>
      </c>
      <c r="X46" s="32">
        <f t="shared" si="9"/>
        <v>22101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-13101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9000</v>
      </c>
      <c r="X47" s="32">
        <f t="shared" si="9"/>
        <v>22101</v>
      </c>
      <c r="Y47" s="57">
        <v>20000</v>
      </c>
      <c r="Z47" s="89">
        <v>4586</v>
      </c>
      <c r="AA47" s="35"/>
      <c r="AB47" s="57">
        <f>57000-AA60</f>
        <v>3224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-13101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9000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-13101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8"/>
        <v>9000</v>
      </c>
      <c r="X49" s="32">
        <f t="shared" si="9"/>
        <v>22101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-13101</v>
      </c>
      <c r="M50" s="95"/>
      <c r="N50" s="804">
        <f>SUM(K50:K55)</f>
        <v>9000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8"/>
        <v>9000</v>
      </c>
      <c r="X50" s="32">
        <f t="shared" si="9"/>
        <v>22101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26"/>
      <c r="J51" s="611"/>
      <c r="K51" s="27">
        <f t="shared" si="0"/>
        <v>0</v>
      </c>
      <c r="L51" s="28">
        <f t="shared" si="1"/>
        <v>-13101</v>
      </c>
      <c r="M51" s="234"/>
      <c r="N51" s="799"/>
      <c r="O51" s="184"/>
      <c r="P51" s="802"/>
      <c r="Q51" s="138">
        <f t="shared" si="11"/>
        <v>0</v>
      </c>
      <c r="R51" s="31">
        <f>K51*$P$50/SUM($K$50:$K$55)-K51</f>
        <v>0</v>
      </c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9000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-13101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9000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60">
        <v>2000</v>
      </c>
      <c r="I53" s="26"/>
      <c r="J53" s="26"/>
      <c r="K53" s="27">
        <f t="shared" si="0"/>
        <v>2000</v>
      </c>
      <c r="L53" s="28">
        <f>+L52-K53</f>
        <v>-15101</v>
      </c>
      <c r="M53" s="29"/>
      <c r="N53" s="799"/>
      <c r="O53" s="30">
        <f t="shared" si="10"/>
        <v>6.6666666666666666E-2</v>
      </c>
      <c r="P53" s="802"/>
      <c r="Q53" s="97">
        <f t="shared" si="11"/>
        <v>0</v>
      </c>
      <c r="R53" s="31">
        <v>0</v>
      </c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8"/>
        <v>7000</v>
      </c>
      <c r="X53" s="32">
        <f t="shared" si="9"/>
        <v>22101</v>
      </c>
      <c r="Y53" s="80">
        <f>+Y52-15000</f>
        <v>-2513.5</v>
      </c>
      <c r="Z53" s="49">
        <f>+Z60-43000</f>
        <v>-30701</v>
      </c>
      <c r="AD53" s="322"/>
      <c r="AE53" s="153"/>
      <c r="AH53" s="19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-15101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7000</v>
      </c>
      <c r="X54" s="32">
        <f t="shared" si="9"/>
        <v>22101</v>
      </c>
      <c r="Y54" s="158"/>
      <c r="Z54" s="159"/>
      <c r="AA54" s="160"/>
      <c r="AB54" s="158"/>
      <c r="AC54" s="160"/>
      <c r="AD54" s="161"/>
      <c r="AE54" s="153"/>
      <c r="AH54" s="53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60">
        <v>7000</v>
      </c>
      <c r="J55" s="143"/>
      <c r="K55" s="27">
        <f t="shared" si="0"/>
        <v>7000</v>
      </c>
      <c r="L55" s="423">
        <f t="shared" si="1"/>
        <v>-22101</v>
      </c>
      <c r="M55" s="86"/>
      <c r="N55" s="800"/>
      <c r="O55" s="87">
        <f t="shared" si="10"/>
        <v>0.23333333333333334</v>
      </c>
      <c r="P55" s="803"/>
      <c r="Q55" s="97">
        <f t="shared" si="11"/>
        <v>0</v>
      </c>
      <c r="R55" s="31">
        <v>0</v>
      </c>
      <c r="S55" s="423">
        <f t="shared" si="4"/>
        <v>0</v>
      </c>
      <c r="T55" s="28">
        <f>IF(I55&lt;&gt;0,+I55+Q55+R55,0)</f>
        <v>7000</v>
      </c>
      <c r="U55" s="423">
        <f t="shared" si="6"/>
        <v>0</v>
      </c>
      <c r="V55" s="423">
        <f>+S55+T55+U55</f>
        <v>7000</v>
      </c>
      <c r="W55" s="31">
        <f t="shared" si="8"/>
        <v>0</v>
      </c>
      <c r="X55" s="119">
        <f t="shared" si="9"/>
        <v>22101</v>
      </c>
      <c r="Y55" s="807">
        <f>Z8</f>
        <v>41924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-22101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8"/>
        <v>0</v>
      </c>
      <c r="X56" s="119">
        <f t="shared" si="9"/>
        <v>22101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-22101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-22101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8"/>
        <v>0</v>
      </c>
      <c r="X58" s="408"/>
      <c r="Y58" s="180" t="s">
        <v>7</v>
      </c>
      <c r="Z58" s="181">
        <f>+AB4</f>
        <v>17880</v>
      </c>
      <c r="AA58" s="182">
        <f>+AB3</f>
        <v>62619</v>
      </c>
      <c r="AB58" s="182">
        <f>Z12</f>
        <v>0</v>
      </c>
      <c r="AC58" s="181">
        <f>AB10</f>
        <v>0</v>
      </c>
      <c r="AD58" s="661">
        <f>SUM(Z58:AC58)</f>
        <v>80499</v>
      </c>
      <c r="AE58" s="185"/>
      <c r="AF58" s="660"/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-22101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175820</v>
      </c>
      <c r="AA59" s="182">
        <f>AC3</f>
        <v>156625</v>
      </c>
      <c r="AB59" s="182">
        <f>Z11</f>
        <v>0</v>
      </c>
      <c r="AC59" s="181">
        <v>0</v>
      </c>
      <c r="AD59" s="661">
        <f>SUM(Z59:AC59)</f>
        <v>332445</v>
      </c>
      <c r="AE59" s="185"/>
      <c r="AF59" s="51"/>
      <c r="AG59" s="51"/>
      <c r="AH59" s="51"/>
      <c r="AI59" s="51"/>
      <c r="AJ59" s="50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-22101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12299</v>
      </c>
      <c r="AA60" s="182">
        <f>+AD3+AH10</f>
        <v>53776</v>
      </c>
      <c r="AB60" s="191">
        <v>0</v>
      </c>
      <c r="AC60" s="181">
        <v>0</v>
      </c>
      <c r="AD60" s="662">
        <f>SUM(Z60:AC60)</f>
        <v>66075</v>
      </c>
      <c r="AE60" s="185"/>
      <c r="AF60" s="53"/>
      <c r="AG60" s="20"/>
      <c r="AH60" s="50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-22101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205999</v>
      </c>
      <c r="AA61" s="194">
        <f>SUM(AA58:AA60)</f>
        <v>273020</v>
      </c>
      <c r="AB61" s="194">
        <f>SUM(AB58:AB60)</f>
        <v>0</v>
      </c>
      <c r="AC61" s="194">
        <f>AB10</f>
        <v>0</v>
      </c>
      <c r="AD61" s="195">
        <f>SUM(AD58:AD60)</f>
        <v>479019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-22101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206573.96005987554</v>
      </c>
      <c r="AA62" s="200">
        <f>(AA58/$Z$28+(AA59/$Z$27)+(AA60/$Z$29))</f>
        <v>273779.6235866769</v>
      </c>
      <c r="AB62" s="200">
        <f>(AB58/$Z$28)+(AB59/$Z$27)</f>
        <v>0</v>
      </c>
      <c r="AC62" s="200">
        <f>AB9</f>
        <v>0</v>
      </c>
      <c r="AD62" s="201">
        <f>(AD58/$Z$28+(AD59/$Z$27)+(AD60/$Z$29))</f>
        <v>480353.5836465524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-22101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-22101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-22101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120192</v>
      </c>
      <c r="AB65" s="204"/>
      <c r="AC65" s="204"/>
      <c r="AD65" s="205"/>
      <c r="AE65" s="32"/>
      <c r="AF65" s="53"/>
      <c r="AI65" s="103"/>
      <c r="AJ65" s="103"/>
      <c r="AK65" s="13"/>
      <c r="AL65" s="373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-22101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30490</v>
      </c>
      <c r="AB66" s="208"/>
      <c r="AC66" s="208"/>
      <c r="AD66" s="209"/>
      <c r="AE66" s="13"/>
      <c r="AF66" s="53"/>
      <c r="AI66" s="103"/>
      <c r="AJ66" s="103"/>
      <c r="AK66" s="213"/>
      <c r="AL66" s="374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-22101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L67" s="1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-22101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479067.41167262621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-22101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-22101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>
        <f>+Z61-2200</f>
        <v>203799</v>
      </c>
      <c r="AA70" s="213"/>
      <c r="AB70" s="213"/>
      <c r="AC70" s="213"/>
      <c r="AD70" s="233">
        <v>491197</v>
      </c>
      <c r="AE70" s="233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-22101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-22101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41924</v>
      </c>
      <c r="AA72" s="818" t="s">
        <v>118</v>
      </c>
      <c r="AB72" s="818"/>
      <c r="AC72" s="818"/>
      <c r="AD72" s="216">
        <v>11.5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12.5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-22101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11.5</v>
      </c>
      <c r="AA73" s="669" t="s">
        <v>120</v>
      </c>
      <c r="AB73" s="669"/>
      <c r="AC73" s="669"/>
      <c r="AD73" s="219">
        <f>24-AD72</f>
        <v>12.5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41280</v>
      </c>
      <c r="AO73" s="373">
        <f>AN73*AM72/24</f>
        <v>21500</v>
      </c>
      <c r="AP73" s="19">
        <f>21500*AD72/24</f>
        <v>10302.083333333334</v>
      </c>
      <c r="AQ73" s="19">
        <f>21500-AP73</f>
        <v>11197.916666666666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-22101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668" t="s">
        <v>127</v>
      </c>
      <c r="AK74" s="819"/>
      <c r="AL74" s="819"/>
      <c r="AM74" s="20" t="s">
        <v>232</v>
      </c>
      <c r="AN74" s="19">
        <f>Z79-AN73</f>
        <v>292003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-22101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668" t="s">
        <v>121</v>
      </c>
      <c r="Z75" s="668" t="s">
        <v>122</v>
      </c>
      <c r="AA75" s="668" t="s">
        <v>123</v>
      </c>
      <c r="AB75" s="820" t="s">
        <v>124</v>
      </c>
      <c r="AC75" s="821"/>
      <c r="AD75" s="822"/>
      <c r="AE75" s="668" t="s">
        <v>125</v>
      </c>
      <c r="AF75" s="668" t="s">
        <v>126</v>
      </c>
      <c r="AG75" s="149"/>
      <c r="AH75" s="668" t="s">
        <v>121</v>
      </c>
      <c r="AI75" s="668"/>
      <c r="AJ75" s="214" t="s">
        <v>7</v>
      </c>
      <c r="AK75" s="236">
        <f>((+AD78-AA78)/$AD$73)*24</f>
        <v>78764.160000000003</v>
      </c>
      <c r="AL75" s="236">
        <f>AK75</f>
        <v>78764.160000000003</v>
      </c>
      <c r="AM75" s="20" t="s">
        <v>7</v>
      </c>
      <c r="AN75" s="19">
        <f>AD58</f>
        <v>80499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-22101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668"/>
      <c r="Z76" s="668"/>
      <c r="AA76" s="668"/>
      <c r="AB76" s="668"/>
      <c r="AC76" s="668"/>
      <c r="AD76" s="668"/>
      <c r="AE76" s="668"/>
      <c r="AF76" s="668"/>
      <c r="AG76" s="149"/>
      <c r="AH76" s="668"/>
      <c r="AI76" s="668"/>
      <c r="AJ76" s="214" t="s">
        <v>6</v>
      </c>
      <c r="AK76" s="236">
        <f>((+AD79-AA79)/$AD$73)*24</f>
        <v>334487.03999999998</v>
      </c>
      <c r="AL76" s="236">
        <f>+AK76</f>
        <v>334487.03999999998</v>
      </c>
      <c r="AM76" s="464"/>
      <c r="AN76" s="19">
        <f>SUM(AN73:AN75)</f>
        <v>413782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-22101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668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668"/>
      <c r="AI77" s="78"/>
      <c r="AJ77" s="214" t="s">
        <v>8</v>
      </c>
      <c r="AK77" s="236">
        <f>((+AD80-AA80)/$AD$73)*24</f>
        <v>63991.680000000008</v>
      </c>
      <c r="AL77" s="236">
        <f>AK77</f>
        <v>63991.680000000008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-22101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>
        <v>84952</v>
      </c>
      <c r="AA78" s="225">
        <v>39476</v>
      </c>
      <c r="AB78" s="226">
        <f t="shared" ref="AB78:AC80" si="23">+Z58</f>
        <v>17880</v>
      </c>
      <c r="AC78" s="226">
        <f t="shared" si="23"/>
        <v>62619</v>
      </c>
      <c r="AD78" s="226">
        <f>+AB78+AC78+AB58+AC58</f>
        <v>80499</v>
      </c>
      <c r="AE78" s="519">
        <f>+((AD58/24)*$AD$73)+AA78</f>
        <v>81402.5625</v>
      </c>
      <c r="AF78" s="227">
        <f>+AE78-AD78</f>
        <v>903.5625</v>
      </c>
      <c r="AG78" s="212"/>
      <c r="AH78" s="214" t="s">
        <v>7</v>
      </c>
      <c r="AI78" s="446">
        <f>+AA78</f>
        <v>39476</v>
      </c>
      <c r="AK78" s="231">
        <f>+SUM(AK75:AK77)</f>
        <v>477242.87999999995</v>
      </c>
      <c r="AL78" s="231">
        <f>+SUM(AL75:AL77)</f>
        <v>477242.87999999995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-22101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>
        <v>333283</v>
      </c>
      <c r="AA79" s="225">
        <v>158233</v>
      </c>
      <c r="AB79" s="226">
        <f t="shared" si="23"/>
        <v>175820</v>
      </c>
      <c r="AC79" s="226">
        <f t="shared" si="23"/>
        <v>156625</v>
      </c>
      <c r="AD79" s="226">
        <f>+AB79+AC79+AB59</f>
        <v>332445</v>
      </c>
      <c r="AE79" s="519">
        <f>+((AD59/24)*$AD$73)+AA79</f>
        <v>331381.4375</v>
      </c>
      <c r="AF79" s="227">
        <f>+AE79-AD79</f>
        <v>-1063.5625</v>
      </c>
      <c r="AG79" s="212"/>
      <c r="AH79" s="214" t="s">
        <v>6</v>
      </c>
      <c r="AI79" s="446">
        <f>+AA79</f>
        <v>158233</v>
      </c>
      <c r="AJ79" s="53"/>
      <c r="AK79" s="481">
        <v>536741</v>
      </c>
      <c r="AL79" s="481">
        <f>AK79-AK78</f>
        <v>59498.120000000054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-22101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>
        <v>72336</v>
      </c>
      <c r="AA80" s="225">
        <v>32746</v>
      </c>
      <c r="AB80" s="226">
        <f t="shared" si="23"/>
        <v>12299</v>
      </c>
      <c r="AC80" s="226">
        <f t="shared" si="23"/>
        <v>53776</v>
      </c>
      <c r="AD80" s="226">
        <f>+AB80+AC80</f>
        <v>66075</v>
      </c>
      <c r="AE80" s="519">
        <f>+((AD60/24)*$AD$73)+AA80</f>
        <v>67160.0625</v>
      </c>
      <c r="AF80" s="227">
        <f>+AE80-AD80</f>
        <v>1085.0625</v>
      </c>
      <c r="AG80" s="149"/>
      <c r="AH80" s="214" t="s">
        <v>8</v>
      </c>
      <c r="AI80" s="447">
        <f>+AA80</f>
        <v>32746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-22101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490571</v>
      </c>
      <c r="AA81" s="230">
        <f t="shared" si="24"/>
        <v>230455</v>
      </c>
      <c r="AB81" s="229">
        <f t="shared" si="24"/>
        <v>205999</v>
      </c>
      <c r="AC81" s="229">
        <f t="shared" si="24"/>
        <v>273020</v>
      </c>
      <c r="AD81" s="229">
        <f t="shared" si="24"/>
        <v>479019</v>
      </c>
      <c r="AE81" s="229">
        <f t="shared" si="24"/>
        <v>479944.0625</v>
      </c>
      <c r="AF81" s="227">
        <f>+SUM(AF78:AF80)</f>
        <v>925.0625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-22101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-22101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-22101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-22101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-22101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230455</v>
      </c>
      <c r="AB86" s="337">
        <f>AA87-AA86</f>
        <v>41734.729166666686</v>
      </c>
      <c r="AC86" s="42">
        <f>AB86*24/5.5</f>
        <v>182115.18181818191</v>
      </c>
      <c r="AD86" s="338">
        <f>AC86+353111</f>
        <v>535226.18181818188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-22101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122656.00000000001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-22101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-22101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-22101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-22101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-22101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587">
        <f>SUMIF($D$2:$D$57,"domiciliario",$I$2:$I$103)</f>
        <v>9633</v>
      </c>
      <c r="AB92" s="626">
        <f>SUMIF($D$2:$D$57,"domiciliario",$T$2:$T$103)</f>
        <v>9633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-22101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589">
        <f>SUMIF($D$2:$D$57,"industrial",$I$2:$I$103)</f>
        <v>0</v>
      </c>
      <c r="AB93" s="627">
        <f>SUMIF($D$2:$D$57,"industrial",$T$2:$T$103)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-22101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589">
        <f>SUMIF($D$2:$D$57,"gnv",$I$2:$I$103)</f>
        <v>247</v>
      </c>
      <c r="AB94" s="627">
        <f>SUMIF($D$2:$D$57,"gnv",$T$2:$T$103)</f>
        <v>247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-22101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8000</v>
      </c>
      <c r="AB95" s="627">
        <f>SUMIF($D$2:$D$57,"termico",$T$2:$T$103)+SUMIF($D$2:$D$57,"electrico",$T$2:$T$103)+SUMIF($D$2:$D$57,"térmico",$T$2:$T$103)</f>
        <v>8000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-22101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590" t="s">
        <v>286</v>
      </c>
      <c r="AA96" s="591"/>
      <c r="AB96" s="628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-22101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490">
        <f>SUMIF($D$2:$D$57,"domiciliario",$H$2:$H$103)</f>
        <v>32767</v>
      </c>
      <c r="AB97" s="629">
        <f>SUMIF($D$2:$D$57,"domiciliario",$S$2:$S$103)</f>
        <v>32767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-22101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493">
        <f>SUMIF($D$2:$D$57,"industrial",$H$2:$H$103)</f>
        <v>36253</v>
      </c>
      <c r="AB98" s="630">
        <f>SUMIF($D$2:$D$57,"industrial",$S$2:$S$103)</f>
        <v>36253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-22101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493">
        <f>SUMIF($D$2:$D$57,"gnv",$H$2:$H$103)</f>
        <v>0</v>
      </c>
      <c r="AB99" s="630">
        <f>SUMIF($D$2:$D$57,"gnv",$S$2:$S$103)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-22101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106800</v>
      </c>
      <c r="AB100" s="630">
        <f>SUMIF($D$2:$D$57,"termico",$S$2:$S$103)+SUMIF($D$2:$D$57,"electrico",$S$2:$S$103)+SUMIF($D$2:$D$57,"térmico",$S$2:$S$103)</f>
        <v>106800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-22101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592" t="s">
        <v>312</v>
      </c>
      <c r="AA101" s="500"/>
      <c r="AB101" s="631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-22101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624">
        <f>SUMIF($D$2:$D$57,"EXPORTACION",$J$2:$J$103)</f>
        <v>34400</v>
      </c>
      <c r="AB102" s="632">
        <f>SUMIF($D$2:$D$57,"EXPORTACION",$U$2:$U$103)</f>
        <v>12299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-22101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175820</v>
      </c>
      <c r="I105" s="252">
        <f>+SUM(I2:I103)</f>
        <v>17880</v>
      </c>
      <c r="J105" s="252">
        <f>+SUM(J2:J103)</f>
        <v>34400</v>
      </c>
      <c r="K105" s="252">
        <f>SUM(K2:K103)</f>
        <v>228100</v>
      </c>
      <c r="L105" s="253">
        <f>+L103</f>
        <v>-22101</v>
      </c>
      <c r="M105" s="252">
        <f>SUM(M2:M103)</f>
        <v>0</v>
      </c>
      <c r="N105" s="252">
        <f>SUM(N2:N103)</f>
        <v>228100</v>
      </c>
      <c r="O105" s="252"/>
      <c r="P105" s="252">
        <f>SUM(P2:P103)</f>
        <v>0</v>
      </c>
      <c r="Q105" s="252">
        <f>SUM(Q2:Q103)</f>
        <v>0</v>
      </c>
      <c r="R105" s="252">
        <f>SUM(R2:R103)</f>
        <v>-22101</v>
      </c>
      <c r="S105" s="252">
        <f>SUM(S2:S103)</f>
        <v>175820</v>
      </c>
      <c r="T105" s="252">
        <f>+SUM(T2:T103)</f>
        <v>17880</v>
      </c>
      <c r="U105" s="252">
        <f>SUM(U2:U103)</f>
        <v>12299</v>
      </c>
      <c r="V105" s="252">
        <f>SUM(V2:V103)</f>
        <v>205999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255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/>
      <c r="J108" s="255"/>
      <c r="K108" s="667">
        <f>K105-K107</f>
        <v>207600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24" priority="3" operator="lessThan">
      <formula>$AA$78</formula>
    </cfRule>
    <cfRule type="cellIs" dxfId="123" priority="5" operator="greaterThan">
      <formula>$AE$78</formula>
    </cfRule>
  </conditionalFormatting>
  <conditionalFormatting sqref="AA79">
    <cfRule type="cellIs" dxfId="122" priority="4" operator="greaterThan">
      <formula>$AE$79</formula>
    </cfRule>
  </conditionalFormatting>
  <conditionalFormatting sqref="AA80">
    <cfRule type="cellIs" dxfId="121" priority="2" operator="greaterThan">
      <formula>$AE$79</formula>
    </cfRule>
  </conditionalFormatting>
  <conditionalFormatting sqref="AU4:AU23">
    <cfRule type="cellIs" dxfId="12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2060"/>
  </sheetPr>
  <dimension ref="A1:AX186"/>
  <sheetViews>
    <sheetView topLeftCell="W1" zoomScale="80" zoomScaleNormal="80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60">
        <v>3000</v>
      </c>
      <c r="I2" s="26">
        <v>0</v>
      </c>
      <c r="J2" s="26"/>
      <c r="K2" s="27">
        <f>SUM(H2:J2)</f>
        <v>3000</v>
      </c>
      <c r="L2" s="28">
        <f>AA4-K2</f>
        <v>202999</v>
      </c>
      <c r="M2" s="29"/>
      <c r="N2" s="798">
        <f>SUM(K2:K26)</f>
        <v>189100</v>
      </c>
      <c r="O2" s="30">
        <f>+K2/$N$2</f>
        <v>1.5864621893178214E-2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202999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674" t="s">
        <v>31</v>
      </c>
      <c r="AE2" s="674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60">
        <v>1100</v>
      </c>
      <c r="J3" s="26"/>
      <c r="K3" s="27">
        <f t="shared" ref="K3:K73" si="0">SUM(H3:J3)</f>
        <v>1100</v>
      </c>
      <c r="L3" s="28">
        <f t="shared" ref="L3:L66" si="1">+L2-K3</f>
        <v>201899</v>
      </c>
      <c r="M3" s="29"/>
      <c r="N3" s="799"/>
      <c r="O3" s="30">
        <f t="shared" ref="O3:O29" si="2">+K3/$N$2</f>
        <v>5.8170280274986779E-3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201899</v>
      </c>
      <c r="X3" s="32">
        <f t="shared" ref="X3:X56" si="9">W3-L3</f>
        <v>0</v>
      </c>
      <c r="Y3" s="37" t="s">
        <v>34</v>
      </c>
      <c r="Z3" s="38">
        <f>ROUND((Z13*57%),0)</f>
        <v>273828</v>
      </c>
      <c r="AA3" s="39">
        <f>ROUND((+Z14*0.57),0)</f>
        <v>273068</v>
      </c>
      <c r="AB3" s="454">
        <v>64619</v>
      </c>
      <c r="AC3" s="455">
        <v>154625</v>
      </c>
      <c r="AD3" s="40">
        <v>53776</v>
      </c>
      <c r="AE3" s="41">
        <f>SUM(AB3:AD3)</f>
        <v>273020</v>
      </c>
      <c r="AF3" s="41">
        <f>AA3-AE3</f>
        <v>48</v>
      </c>
      <c r="AG3" s="641">
        <f>AA3-AB3-AC3-AD3</f>
        <v>48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26">
        <v>2400</v>
      </c>
      <c r="J4" s="26"/>
      <c r="K4" s="27">
        <f t="shared" si="0"/>
        <v>2400</v>
      </c>
      <c r="L4" s="28">
        <f t="shared" si="1"/>
        <v>199499</v>
      </c>
      <c r="M4" s="29"/>
      <c r="N4" s="799"/>
      <c r="O4" s="30">
        <f t="shared" si="2"/>
        <v>1.269169751454257E-2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2400</v>
      </c>
      <c r="U4" s="28">
        <f t="shared" si="6"/>
        <v>0</v>
      </c>
      <c r="V4" s="28">
        <f t="shared" si="7"/>
        <v>2400</v>
      </c>
      <c r="W4" s="31">
        <f t="shared" si="8"/>
        <v>199499</v>
      </c>
      <c r="X4" s="32">
        <f t="shared" si="9"/>
        <v>0</v>
      </c>
      <c r="Y4" s="37" t="s">
        <v>38</v>
      </c>
      <c r="Z4" s="38">
        <f>ROUND((Z13*43%),0)</f>
        <v>206572</v>
      </c>
      <c r="AA4" s="39">
        <f>ROUND((+Z14*0.43),0)</f>
        <v>205999</v>
      </c>
      <c r="AB4" s="43">
        <f>T105</f>
        <v>17880</v>
      </c>
      <c r="AC4" s="43">
        <f>S105</f>
        <v>175820</v>
      </c>
      <c r="AD4" s="40">
        <f>U105</f>
        <v>12299</v>
      </c>
      <c r="AE4" s="41">
        <f>SUM(AB4:AD4)</f>
        <v>205999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60">
        <v>1200</v>
      </c>
      <c r="J5" s="26"/>
      <c r="K5" s="27">
        <f t="shared" si="0"/>
        <v>1200</v>
      </c>
      <c r="L5" s="28">
        <f t="shared" si="1"/>
        <v>198299</v>
      </c>
      <c r="M5" s="29"/>
      <c r="N5" s="799"/>
      <c r="O5" s="30">
        <f t="shared" si="2"/>
        <v>6.345848757271285E-3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198299</v>
      </c>
      <c r="X5" s="32">
        <f t="shared" si="9"/>
        <v>0</v>
      </c>
      <c r="Y5" s="44" t="s">
        <v>41</v>
      </c>
      <c r="Z5" s="38">
        <f>SUM(Z3:Z4)</f>
        <v>480400</v>
      </c>
      <c r="AA5" s="45">
        <f>SUM(AA3:AA4)</f>
        <v>479067</v>
      </c>
      <c r="AB5" s="46">
        <f>SUM(AB3:AB4)</f>
        <v>82499</v>
      </c>
      <c r="AC5" s="41">
        <f>SUM(AC3:AC4)</f>
        <v>330445</v>
      </c>
      <c r="AD5" s="40">
        <f>SUM(AD3:AD4)</f>
        <v>66075</v>
      </c>
      <c r="AE5" s="41">
        <f>SUM(AB5:AD5)</f>
        <v>479019</v>
      </c>
      <c r="AF5" s="47">
        <f>SUM(AF3:AF4)</f>
        <v>48</v>
      </c>
      <c r="AG5" s="642">
        <f>SUM(AG3:AG4)</f>
        <v>48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60">
        <v>12000</v>
      </c>
      <c r="I6" s="26"/>
      <c r="J6" s="26"/>
      <c r="K6" s="27">
        <f t="shared" si="0"/>
        <v>12000</v>
      </c>
      <c r="L6" s="28">
        <f t="shared" si="1"/>
        <v>186299</v>
      </c>
      <c r="M6" s="29"/>
      <c r="N6" s="799"/>
      <c r="O6" s="30">
        <f t="shared" si="2"/>
        <v>6.3458487572712857E-2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186299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60">
        <f>12389+1796</f>
        <v>14185</v>
      </c>
      <c r="I7" s="560">
        <f>2411+604+800</f>
        <v>3815</v>
      </c>
      <c r="J7" s="26"/>
      <c r="K7" s="27">
        <f t="shared" si="0"/>
        <v>18000</v>
      </c>
      <c r="L7" s="28">
        <f t="shared" si="1"/>
        <v>168299</v>
      </c>
      <c r="M7" s="29"/>
      <c r="N7" s="799"/>
      <c r="O7" s="30">
        <f t="shared" si="2"/>
        <v>9.5187731359069272E-2</v>
      </c>
      <c r="P7" s="802"/>
      <c r="Q7" s="31">
        <f t="shared" si="3"/>
        <v>0</v>
      </c>
      <c r="R7" s="31"/>
      <c r="S7" s="28">
        <f t="shared" si="4"/>
        <v>14185</v>
      </c>
      <c r="T7" s="28">
        <f t="shared" si="5"/>
        <v>3815</v>
      </c>
      <c r="U7" s="28">
        <f t="shared" si="6"/>
        <v>0</v>
      </c>
      <c r="V7" s="28">
        <f t="shared" si="7"/>
        <v>18000</v>
      </c>
      <c r="W7" s="31">
        <f t="shared" si="8"/>
        <v>168299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8176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60">
        <v>2500</v>
      </c>
      <c r="I8" s="26"/>
      <c r="J8" s="26"/>
      <c r="K8" s="27">
        <f t="shared" si="0"/>
        <v>2500</v>
      </c>
      <c r="L8" s="28">
        <f t="shared" si="1"/>
        <v>165799</v>
      </c>
      <c r="M8" s="29"/>
      <c r="N8" s="799"/>
      <c r="O8" s="30">
        <f t="shared" si="2"/>
        <v>1.3220518244315178E-2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165799</v>
      </c>
      <c r="X8" s="32">
        <f t="shared" si="9"/>
        <v>0</v>
      </c>
      <c r="Y8" s="14" t="s">
        <v>47</v>
      </c>
      <c r="Z8" s="54">
        <v>41924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60">
        <v>1082</v>
      </c>
      <c r="I9" s="560">
        <v>1118</v>
      </c>
      <c r="J9" s="26"/>
      <c r="K9" s="27">
        <f t="shared" si="0"/>
        <v>2200</v>
      </c>
      <c r="L9" s="28">
        <f t="shared" si="1"/>
        <v>163599</v>
      </c>
      <c r="M9" s="29"/>
      <c r="N9" s="799"/>
      <c r="O9" s="30">
        <f t="shared" si="2"/>
        <v>1.1634056054997356E-2</v>
      </c>
      <c r="P9" s="802"/>
      <c r="Q9" s="31">
        <f t="shared" si="3"/>
        <v>0</v>
      </c>
      <c r="R9" s="31"/>
      <c r="S9" s="28">
        <f t="shared" si="4"/>
        <v>1082</v>
      </c>
      <c r="T9" s="28">
        <f t="shared" si="5"/>
        <v>1118</v>
      </c>
      <c r="U9" s="28">
        <f t="shared" si="6"/>
        <v>0</v>
      </c>
      <c r="V9" s="28">
        <f t="shared" si="7"/>
        <v>2200</v>
      </c>
      <c r="W9" s="31">
        <f t="shared" si="8"/>
        <v>163599</v>
      </c>
      <c r="X9" s="32">
        <f t="shared" si="9"/>
        <v>0</v>
      </c>
      <c r="Y9" s="14" t="s">
        <v>189</v>
      </c>
      <c r="Z9" s="58">
        <f>480400-AB9</f>
        <v>480400</v>
      </c>
      <c r="AA9" s="59">
        <f>Z9*14.65/14.73</f>
        <v>477790.90291921247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-103924.99999999999</v>
      </c>
      <c r="AG9" s="49"/>
      <c r="AH9" s="651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60">
        <v>19000</v>
      </c>
      <c r="I10" s="560">
        <v>1000</v>
      </c>
      <c r="J10" s="26"/>
      <c r="K10" s="27">
        <f t="shared" si="0"/>
        <v>20000</v>
      </c>
      <c r="L10" s="28">
        <f t="shared" si="1"/>
        <v>143599</v>
      </c>
      <c r="M10" s="29"/>
      <c r="N10" s="799"/>
      <c r="O10" s="30">
        <f t="shared" si="2"/>
        <v>0.10576414595452142</v>
      </c>
      <c r="P10" s="802"/>
      <c r="Q10" s="31">
        <f t="shared" si="3"/>
        <v>0</v>
      </c>
      <c r="R10" s="31">
        <v>0</v>
      </c>
      <c r="S10" s="28">
        <f t="shared" si="4"/>
        <v>19000</v>
      </c>
      <c r="T10" s="28">
        <f t="shared" si="5"/>
        <v>1000</v>
      </c>
      <c r="U10" s="28">
        <f t="shared" si="6"/>
        <v>0</v>
      </c>
      <c r="V10" s="28">
        <f t="shared" si="7"/>
        <v>20000</v>
      </c>
      <c r="W10" s="31">
        <f t="shared" si="8"/>
        <v>143599</v>
      </c>
      <c r="X10" s="32">
        <f t="shared" si="9"/>
        <v>0</v>
      </c>
      <c r="Y10" s="14" t="s">
        <v>191</v>
      </c>
      <c r="Z10" s="58">
        <f>ROUND((Z9*Z30),0)</f>
        <v>479067</v>
      </c>
      <c r="AA10" s="59">
        <f>Z10*14.65/14.73</f>
        <v>476465.14256619144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-60801</v>
      </c>
      <c r="AG10" s="62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60">
        <v>18000</v>
      </c>
      <c r="I11" s="26"/>
      <c r="J11" s="26"/>
      <c r="K11" s="27">
        <f t="shared" si="0"/>
        <v>18000</v>
      </c>
      <c r="L11" s="28">
        <f t="shared" si="1"/>
        <v>125599</v>
      </c>
      <c r="M11" s="29"/>
      <c r="N11" s="799"/>
      <c r="O11" s="30">
        <f t="shared" si="2"/>
        <v>9.5187731359069272E-2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125599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-43123.999999999985</v>
      </c>
      <c r="AG11" s="62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60">
        <v>3600</v>
      </c>
      <c r="I12" s="26"/>
      <c r="J12" s="26"/>
      <c r="K12" s="27">
        <f t="shared" si="0"/>
        <v>3600</v>
      </c>
      <c r="L12" s="28">
        <f t="shared" si="1"/>
        <v>121999</v>
      </c>
      <c r="M12" s="29"/>
      <c r="N12" s="799"/>
      <c r="O12" s="30">
        <f t="shared" si="2"/>
        <v>1.9037546271813855E-2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121999</v>
      </c>
      <c r="X12" s="32">
        <f t="shared" si="9"/>
        <v>0</v>
      </c>
      <c r="Y12" s="14" t="s">
        <v>64</v>
      </c>
      <c r="Z12" s="58"/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60">
        <v>6000</v>
      </c>
      <c r="I13" s="26">
        <v>0</v>
      </c>
      <c r="J13" s="26"/>
      <c r="K13" s="27">
        <f t="shared" si="0"/>
        <v>6000</v>
      </c>
      <c r="L13" s="28">
        <f t="shared" si="1"/>
        <v>115999</v>
      </c>
      <c r="M13" s="29"/>
      <c r="N13" s="799"/>
      <c r="O13" s="30">
        <f t="shared" si="2"/>
        <v>3.1729243786356429E-2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115999</v>
      </c>
      <c r="X13" s="32">
        <f t="shared" si="9"/>
        <v>0</v>
      </c>
      <c r="Y13" s="14" t="s">
        <v>67</v>
      </c>
      <c r="Z13" s="67">
        <f>Z14/Z30</f>
        <v>480399.58718225284</v>
      </c>
      <c r="AA13" s="35"/>
      <c r="AB13" s="35"/>
      <c r="AC13" s="35"/>
      <c r="AD13" s="57"/>
      <c r="AE13" s="57"/>
      <c r="AF13" s="35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26">
        <v>0</v>
      </c>
      <c r="I14" s="26">
        <v>0</v>
      </c>
      <c r="J14" s="26"/>
      <c r="K14" s="27">
        <f t="shared" si="0"/>
        <v>0</v>
      </c>
      <c r="L14" s="28">
        <f t="shared" si="1"/>
        <v>115999</v>
      </c>
      <c r="M14" s="29"/>
      <c r="N14" s="799"/>
      <c r="O14" s="30">
        <f t="shared" si="2"/>
        <v>0</v>
      </c>
      <c r="P14" s="802"/>
      <c r="Q14" s="31">
        <f t="shared" si="3"/>
        <v>0</v>
      </c>
      <c r="R14" s="31">
        <v>0</v>
      </c>
      <c r="S14" s="28">
        <f t="shared" si="4"/>
        <v>0</v>
      </c>
      <c r="T14" s="28">
        <f t="shared" si="5"/>
        <v>0</v>
      </c>
      <c r="U14" s="28">
        <f t="shared" si="6"/>
        <v>0</v>
      </c>
      <c r="V14" s="28">
        <f t="shared" si="7"/>
        <v>0</v>
      </c>
      <c r="W14" s="31">
        <f t="shared" si="8"/>
        <v>115999</v>
      </c>
      <c r="X14" s="32">
        <f t="shared" si="9"/>
        <v>0</v>
      </c>
      <c r="Y14" s="14" t="s">
        <v>70</v>
      </c>
      <c r="Z14" s="67">
        <f>+Z10-(Z11+Z12)</f>
        <v>479067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60">
        <v>17200</v>
      </c>
      <c r="I15" s="26"/>
      <c r="J15" s="26"/>
      <c r="K15" s="27">
        <f t="shared" si="0"/>
        <v>17200</v>
      </c>
      <c r="L15" s="28">
        <f t="shared" si="1"/>
        <v>98799</v>
      </c>
      <c r="M15" s="29"/>
      <c r="N15" s="799"/>
      <c r="O15" s="30">
        <f t="shared" si="2"/>
        <v>9.0957165520888422E-2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98799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60">
        <v>20500</v>
      </c>
      <c r="I16" s="26"/>
      <c r="J16" s="26"/>
      <c r="K16" s="27">
        <f t="shared" si="0"/>
        <v>20500</v>
      </c>
      <c r="L16" s="28">
        <f t="shared" si="1"/>
        <v>78299</v>
      </c>
      <c r="M16" s="29"/>
      <c r="N16" s="799"/>
      <c r="O16" s="30">
        <f t="shared" si="2"/>
        <v>0.10840824960338445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78299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60">
        <v>3500</v>
      </c>
      <c r="I17" s="560">
        <v>0</v>
      </c>
      <c r="J17" s="26"/>
      <c r="K17" s="27">
        <f t="shared" si="0"/>
        <v>3500</v>
      </c>
      <c r="L17" s="28">
        <f t="shared" si="1"/>
        <v>74799</v>
      </c>
      <c r="M17" s="29"/>
      <c r="N17" s="799"/>
      <c r="O17" s="30">
        <f t="shared" si="2"/>
        <v>1.8508725542041249E-2</v>
      </c>
      <c r="P17" s="802"/>
      <c r="Q17" s="31">
        <f t="shared" si="3"/>
        <v>0</v>
      </c>
      <c r="R17" s="31">
        <v>0</v>
      </c>
      <c r="S17" s="28">
        <f t="shared" si="4"/>
        <v>3500</v>
      </c>
      <c r="T17" s="28">
        <f t="shared" si="5"/>
        <v>0</v>
      </c>
      <c r="U17" s="28">
        <f t="shared" si="6"/>
        <v>0</v>
      </c>
      <c r="V17" s="28">
        <f t="shared" si="7"/>
        <v>3500</v>
      </c>
      <c r="W17" s="31">
        <f t="shared" si="8"/>
        <v>74799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60">
        <v>247</v>
      </c>
      <c r="J18" s="26"/>
      <c r="K18" s="27">
        <f t="shared" si="0"/>
        <v>247</v>
      </c>
      <c r="L18" s="28">
        <f t="shared" si="1"/>
        <v>74552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247</v>
      </c>
      <c r="U18" s="28">
        <f t="shared" si="6"/>
        <v>0</v>
      </c>
      <c r="V18" s="28">
        <f t="shared" si="7"/>
        <v>247</v>
      </c>
      <c r="W18" s="31">
        <f t="shared" si="8"/>
        <v>74552</v>
      </c>
      <c r="X18" s="32"/>
      <c r="Y18" s="14" t="s">
        <v>77</v>
      </c>
      <c r="Z18" s="71">
        <f>ROUND(Z14*0.43,0)</f>
        <v>205999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60">
        <v>2253</v>
      </c>
      <c r="I19" s="26"/>
      <c r="J19" s="26"/>
      <c r="K19" s="27">
        <f t="shared" si="0"/>
        <v>2253</v>
      </c>
      <c r="L19" s="28">
        <f t="shared" si="1"/>
        <v>72299</v>
      </c>
      <c r="M19" s="29"/>
      <c r="N19" s="799"/>
      <c r="O19" s="30">
        <f t="shared" si="2"/>
        <v>1.1914331041776837E-2</v>
      </c>
      <c r="P19" s="802"/>
      <c r="Q19" s="31">
        <f t="shared" si="3"/>
        <v>0</v>
      </c>
      <c r="R19" s="31">
        <v>0</v>
      </c>
      <c r="S19" s="28">
        <f t="shared" si="4"/>
        <v>2253</v>
      </c>
      <c r="T19" s="28">
        <f t="shared" si="5"/>
        <v>0</v>
      </c>
      <c r="U19" s="28">
        <f t="shared" si="6"/>
        <v>0</v>
      </c>
      <c r="V19" s="28">
        <f t="shared" si="7"/>
        <v>2253</v>
      </c>
      <c r="W19" s="31">
        <f t="shared" si="8"/>
        <v>72299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60">
        <v>1500</v>
      </c>
      <c r="I20" s="26">
        <v>0</v>
      </c>
      <c r="J20" s="26"/>
      <c r="K20" s="27">
        <f t="shared" si="0"/>
        <v>1500</v>
      </c>
      <c r="L20" s="28">
        <f t="shared" si="1"/>
        <v>70799</v>
      </c>
      <c r="M20" s="29"/>
      <c r="N20" s="799"/>
      <c r="O20" s="30">
        <f t="shared" si="2"/>
        <v>7.9323109465891072E-3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70799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70799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70799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60">
        <v>7500</v>
      </c>
      <c r="I22" s="26">
        <v>0</v>
      </c>
      <c r="J22" s="26"/>
      <c r="K22" s="27">
        <f t="shared" si="0"/>
        <v>7500</v>
      </c>
      <c r="L22" s="28">
        <f t="shared" si="1"/>
        <v>63299</v>
      </c>
      <c r="M22" s="29"/>
      <c r="N22" s="799"/>
      <c r="O22" s="30">
        <f t="shared" si="2"/>
        <v>3.9661554732945532E-2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63299</v>
      </c>
      <c r="X22" s="32">
        <f t="shared" si="9"/>
        <v>0</v>
      </c>
      <c r="Y22" s="14"/>
      <c r="Z22" s="72"/>
      <c r="AE22" s="76"/>
      <c r="AF22" s="51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63299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63299</v>
      </c>
      <c r="X23" s="32"/>
      <c r="Y23" s="14"/>
      <c r="Z23" s="72"/>
      <c r="AE23" s="76"/>
      <c r="AF23" s="51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63299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63299</v>
      </c>
      <c r="X24" s="32">
        <f t="shared" si="9"/>
        <v>0</v>
      </c>
      <c r="Y24" s="74" t="s">
        <v>169</v>
      </c>
      <c r="Z24" s="75">
        <f>+Z18+Z19</f>
        <v>205999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60">
        <v>12000</v>
      </c>
      <c r="I25" s="26"/>
      <c r="J25" s="26"/>
      <c r="K25" s="27">
        <f t="shared" si="0"/>
        <v>12000</v>
      </c>
      <c r="L25" s="28">
        <f t="shared" si="1"/>
        <v>51299</v>
      </c>
      <c r="M25" s="29"/>
      <c r="N25" s="799"/>
      <c r="O25" s="30">
        <f t="shared" si="2"/>
        <v>6.3458487572712857E-2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51299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66">
        <v>34400</v>
      </c>
      <c r="K26" s="442">
        <f t="shared" si="0"/>
        <v>34400</v>
      </c>
      <c r="L26" s="28">
        <f t="shared" si="1"/>
        <v>16899</v>
      </c>
      <c r="M26" s="86"/>
      <c r="N26" s="800"/>
      <c r="O26" s="87">
        <f t="shared" si="2"/>
        <v>0.18191433104177684</v>
      </c>
      <c r="P26" s="803"/>
      <c r="Q26" s="144">
        <f t="shared" si="3"/>
        <v>0</v>
      </c>
      <c r="R26" s="144">
        <v>-22101</v>
      </c>
      <c r="S26" s="423">
        <f t="shared" si="4"/>
        <v>0</v>
      </c>
      <c r="T26" s="423">
        <f t="shared" si="5"/>
        <v>0</v>
      </c>
      <c r="U26" s="423">
        <f t="shared" si="6"/>
        <v>12299</v>
      </c>
      <c r="V26" s="423">
        <f t="shared" si="7"/>
        <v>12299</v>
      </c>
      <c r="W26" s="31">
        <f t="shared" si="8"/>
        <v>39000</v>
      </c>
      <c r="X26" s="32">
        <f t="shared" si="9"/>
        <v>22101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16899</v>
      </c>
      <c r="M27" s="95"/>
      <c r="N27" s="804">
        <f>SUM(K27:K49)</f>
        <v>30000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8"/>
        <v>39000</v>
      </c>
      <c r="X27" s="32">
        <f t="shared" si="9"/>
        <v>22101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16899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39000</v>
      </c>
      <c r="X28" s="32">
        <f t="shared" si="9"/>
        <v>22101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47901</v>
      </c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16899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39000</v>
      </c>
      <c r="X29" s="32">
        <f t="shared" si="9"/>
        <v>22101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16899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39000</v>
      </c>
      <c r="X30" s="32">
        <f t="shared" si="9"/>
        <v>22101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16899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39000</v>
      </c>
      <c r="X31" s="32">
        <f t="shared" si="9"/>
        <v>22101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16899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39000</v>
      </c>
      <c r="X32" s="32">
        <f t="shared" si="9"/>
        <v>22101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16899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39000</v>
      </c>
      <c r="X33" s="32">
        <f t="shared" si="9"/>
        <v>22101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16899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39000</v>
      </c>
      <c r="X34" s="32">
        <f t="shared" si="9"/>
        <v>22101</v>
      </c>
      <c r="Y34" s="806"/>
      <c r="Z34" s="112">
        <v>80000</v>
      </c>
      <c r="AA34" s="113">
        <f>AD5-Z34</f>
        <v>-13925</v>
      </c>
      <c r="AB34" s="113">
        <f>Z34+AA34</f>
        <v>66075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16899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39000</v>
      </c>
      <c r="X35" s="32">
        <f>W35-L35</f>
        <v>22101</v>
      </c>
      <c r="Y35" s="117" t="s">
        <v>56</v>
      </c>
      <c r="Z35" s="113">
        <f>Z34*43%</f>
        <v>34400</v>
      </c>
      <c r="AA35" s="113">
        <f>AD4-Z35</f>
        <v>-22101</v>
      </c>
      <c r="AB35" s="113">
        <f>Z35+AA35</f>
        <v>12299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16899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39000</v>
      </c>
      <c r="X36" s="32">
        <f t="shared" si="9"/>
        <v>22101</v>
      </c>
      <c r="Y36" s="117" t="s">
        <v>60</v>
      </c>
      <c r="Z36" s="113">
        <f>Z34*57%</f>
        <v>45599.999999999993</v>
      </c>
      <c r="AA36" s="113">
        <f>AD3-Z36</f>
        <v>8176.0000000000073</v>
      </c>
      <c r="AB36" s="113">
        <f>Z36+AA36</f>
        <v>53776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16899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39000</v>
      </c>
      <c r="X37" s="32">
        <f t="shared" si="9"/>
        <v>22101</v>
      </c>
      <c r="Y37" s="117" t="s">
        <v>94</v>
      </c>
      <c r="Z37" s="113">
        <f>+Z35+Z36</f>
        <v>80000</v>
      </c>
      <c r="AA37" s="113">
        <f>SUM(AA35:AA36)</f>
        <v>-13924.999999999993</v>
      </c>
      <c r="AB37" s="113">
        <f>Z37+AA37</f>
        <v>66075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>
        <v>20000</v>
      </c>
      <c r="I38" s="26"/>
      <c r="J38" s="26"/>
      <c r="K38" s="27">
        <f t="shared" si="0"/>
        <v>20000</v>
      </c>
      <c r="L38" s="28">
        <f>+L37-K38</f>
        <v>-3101</v>
      </c>
      <c r="M38" s="29"/>
      <c r="N38" s="799"/>
      <c r="O38" s="30">
        <f t="shared" si="10"/>
        <v>0.66666666666666663</v>
      </c>
      <c r="P38" s="802"/>
      <c r="Q38" s="31">
        <f t="shared" si="11"/>
        <v>0</v>
      </c>
      <c r="R38" s="31"/>
      <c r="S38" s="28">
        <f t="shared" si="4"/>
        <v>20000</v>
      </c>
      <c r="T38" s="28">
        <f t="shared" si="5"/>
        <v>0</v>
      </c>
      <c r="U38" s="28">
        <f t="shared" si="6"/>
        <v>0</v>
      </c>
      <c r="V38" s="28">
        <f t="shared" si="7"/>
        <v>20000</v>
      </c>
      <c r="W38" s="31">
        <f t="shared" si="8"/>
        <v>19000</v>
      </c>
      <c r="X38" s="32">
        <f t="shared" si="9"/>
        <v>22101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-3101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19000</v>
      </c>
      <c r="X39" s="32">
        <f t="shared" si="9"/>
        <v>22101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-3101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19000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-3101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19000</v>
      </c>
      <c r="X41" s="32">
        <f t="shared" si="9"/>
        <v>22101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-3101</v>
      </c>
      <c r="M42" s="29"/>
      <c r="N42" s="799"/>
      <c r="O42" s="30">
        <f t="shared" si="10"/>
        <v>0</v>
      </c>
      <c r="P42" s="802"/>
      <c r="Q42" s="31">
        <f t="shared" si="11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8"/>
        <v>19000</v>
      </c>
      <c r="X42" s="32">
        <f t="shared" si="9"/>
        <v>22101</v>
      </c>
      <c r="Y42" s="74" t="s">
        <v>96</v>
      </c>
      <c r="Z42" s="75">
        <v>35500</v>
      </c>
      <c r="AA42" s="129">
        <f>+H7+H8+H17+H18+H19+H22+H32+H33+H43+H44+H45+H53</f>
        <v>31938</v>
      </c>
      <c r="AB42" s="129">
        <f>+I7+I8+I17+I18+I19+I22+I32+I33+I43+I44+I45+I53</f>
        <v>4062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-3101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19000</v>
      </c>
      <c r="X43" s="32">
        <f t="shared" si="9"/>
        <v>22101</v>
      </c>
      <c r="Y43" s="131" t="s">
        <v>97</v>
      </c>
      <c r="Z43" s="132">
        <v>50000</v>
      </c>
      <c r="AA43" s="133">
        <f>+H10+H11+H25+H35+H36+H47</f>
        <v>49000</v>
      </c>
      <c r="AB43" s="133">
        <f>+I10+I11+I25+I35+I36+I47</f>
        <v>1000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-3101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19000</v>
      </c>
      <c r="X44" s="32">
        <f t="shared" si="9"/>
        <v>22101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-3101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19000</v>
      </c>
      <c r="X45" s="32">
        <f t="shared" si="9"/>
        <v>22101</v>
      </c>
      <c r="Y45" s="131" t="s">
        <v>98</v>
      </c>
      <c r="Z45" s="132">
        <v>9600</v>
      </c>
      <c r="AA45" s="133">
        <f>+H12+H13+H37+H38</f>
        <v>29600</v>
      </c>
      <c r="AB45" s="133">
        <f>+I12+I13+I37+I38</f>
        <v>0</v>
      </c>
      <c r="AC45" s="133">
        <f>+AA45+AB45</f>
        <v>29600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60">
        <v>10000</v>
      </c>
      <c r="I46" s="26"/>
      <c r="J46" s="26"/>
      <c r="K46" s="27">
        <f t="shared" si="0"/>
        <v>10000</v>
      </c>
      <c r="L46" s="28">
        <f>+L45-K46</f>
        <v>-13101</v>
      </c>
      <c r="M46" s="29"/>
      <c r="N46" s="799"/>
      <c r="O46" s="30">
        <f t="shared" si="10"/>
        <v>0.33333333333333331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9000</v>
      </c>
      <c r="X46" s="32">
        <f t="shared" si="9"/>
        <v>22101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-13101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9000</v>
      </c>
      <c r="X47" s="32">
        <f t="shared" si="9"/>
        <v>22101</v>
      </c>
      <c r="Y47" s="57">
        <v>20000</v>
      </c>
      <c r="Z47" s="89">
        <v>4586</v>
      </c>
      <c r="AA47" s="35"/>
      <c r="AB47" s="57">
        <f>57000-AA60</f>
        <v>3224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-13101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9000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-13101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8"/>
        <v>9000</v>
      </c>
      <c r="X49" s="32">
        <f t="shared" si="9"/>
        <v>22101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-13101</v>
      </c>
      <c r="M50" s="95"/>
      <c r="N50" s="804">
        <f>SUM(K50:K55)</f>
        <v>9000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8"/>
        <v>9000</v>
      </c>
      <c r="X50" s="32">
        <f t="shared" si="9"/>
        <v>22101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26"/>
      <c r="J51" s="611"/>
      <c r="K51" s="27">
        <f t="shared" si="0"/>
        <v>0</v>
      </c>
      <c r="L51" s="28">
        <f t="shared" si="1"/>
        <v>-13101</v>
      </c>
      <c r="M51" s="234"/>
      <c r="N51" s="799"/>
      <c r="O51" s="184"/>
      <c r="P51" s="802"/>
      <c r="Q51" s="138">
        <f t="shared" si="11"/>
        <v>0</v>
      </c>
      <c r="R51" s="31">
        <f>K51*$P$50/SUM($K$50:$K$55)-K51</f>
        <v>0</v>
      </c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9000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-13101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9000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60">
        <v>2000</v>
      </c>
      <c r="I53" s="26"/>
      <c r="J53" s="26"/>
      <c r="K53" s="27">
        <f t="shared" si="0"/>
        <v>2000</v>
      </c>
      <c r="L53" s="28">
        <f>+L52-K53</f>
        <v>-15101</v>
      </c>
      <c r="M53" s="29"/>
      <c r="N53" s="799"/>
      <c r="O53" s="30">
        <f t="shared" si="10"/>
        <v>6.6666666666666666E-2</v>
      </c>
      <c r="P53" s="802"/>
      <c r="Q53" s="97">
        <f t="shared" si="11"/>
        <v>0</v>
      </c>
      <c r="R53" s="31">
        <v>0</v>
      </c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8"/>
        <v>7000</v>
      </c>
      <c r="X53" s="32">
        <f t="shared" si="9"/>
        <v>22101</v>
      </c>
      <c r="Y53" s="80">
        <f>+Y52-15000</f>
        <v>-2513.5</v>
      </c>
      <c r="Z53" s="49">
        <f>+Z60-43000</f>
        <v>-30701</v>
      </c>
      <c r="AD53" s="322"/>
      <c r="AE53" s="153"/>
      <c r="AH53" s="19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-15101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7000</v>
      </c>
      <c r="X54" s="32">
        <f t="shared" si="9"/>
        <v>22101</v>
      </c>
      <c r="Y54" s="158"/>
      <c r="Z54" s="159"/>
      <c r="AA54" s="160"/>
      <c r="AB54" s="158"/>
      <c r="AC54" s="160"/>
      <c r="AD54" s="161"/>
      <c r="AE54" s="153"/>
      <c r="AH54" s="53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60">
        <v>7000</v>
      </c>
      <c r="J55" s="143"/>
      <c r="K55" s="27">
        <f t="shared" si="0"/>
        <v>7000</v>
      </c>
      <c r="L55" s="423">
        <f t="shared" si="1"/>
        <v>-22101</v>
      </c>
      <c r="M55" s="86"/>
      <c r="N55" s="800"/>
      <c r="O55" s="87">
        <f t="shared" si="10"/>
        <v>0.23333333333333334</v>
      </c>
      <c r="P55" s="803"/>
      <c r="Q55" s="97">
        <f t="shared" si="11"/>
        <v>0</v>
      </c>
      <c r="R55" s="31">
        <v>0</v>
      </c>
      <c r="S55" s="423">
        <f t="shared" si="4"/>
        <v>0</v>
      </c>
      <c r="T55" s="28">
        <f>IF(I55&lt;&gt;0,+I55+Q55+R55,0)</f>
        <v>7000</v>
      </c>
      <c r="U55" s="423">
        <f t="shared" si="6"/>
        <v>0</v>
      </c>
      <c r="V55" s="423">
        <f>+S55+T55+U55</f>
        <v>7000</v>
      </c>
      <c r="W55" s="31">
        <f t="shared" si="8"/>
        <v>0</v>
      </c>
      <c r="X55" s="119">
        <f t="shared" si="9"/>
        <v>22101</v>
      </c>
      <c r="Y55" s="807">
        <f>Z8</f>
        <v>41924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-22101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8"/>
        <v>0</v>
      </c>
      <c r="X56" s="119">
        <f t="shared" si="9"/>
        <v>22101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-22101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-22101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8"/>
        <v>0</v>
      </c>
      <c r="X58" s="408"/>
      <c r="Y58" s="180" t="s">
        <v>7</v>
      </c>
      <c r="Z58" s="181">
        <f>+AB4</f>
        <v>17880</v>
      </c>
      <c r="AA58" s="182">
        <f>+AB3</f>
        <v>64619</v>
      </c>
      <c r="AB58" s="182">
        <f>Z12</f>
        <v>0</v>
      </c>
      <c r="AC58" s="181">
        <f>AB10</f>
        <v>0</v>
      </c>
      <c r="AD58" s="661">
        <f>SUM(Z58:AC58)</f>
        <v>82499</v>
      </c>
      <c r="AE58" s="185"/>
      <c r="AF58" s="660"/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-22101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175820</v>
      </c>
      <c r="AA59" s="182">
        <f>AC3</f>
        <v>154625</v>
      </c>
      <c r="AB59" s="182">
        <f>Z11</f>
        <v>0</v>
      </c>
      <c r="AC59" s="181">
        <v>0</v>
      </c>
      <c r="AD59" s="661">
        <f>SUM(Z59:AC59)</f>
        <v>330445</v>
      </c>
      <c r="AE59" s="185"/>
      <c r="AF59" s="51"/>
      <c r="AG59" s="51"/>
      <c r="AH59" s="51"/>
      <c r="AI59" s="51"/>
      <c r="AJ59" s="50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-22101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12299</v>
      </c>
      <c r="AA60" s="182">
        <f>+AD3+AH10</f>
        <v>53776</v>
      </c>
      <c r="AB60" s="191">
        <v>0</v>
      </c>
      <c r="AC60" s="181">
        <v>0</v>
      </c>
      <c r="AD60" s="662">
        <f>SUM(Z60:AC60)</f>
        <v>66075</v>
      </c>
      <c r="AE60" s="185"/>
      <c r="AF60" s="53"/>
      <c r="AG60" s="20"/>
      <c r="AH60" s="50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-22101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205999</v>
      </c>
      <c r="AA61" s="194">
        <f>SUM(AA58:AA60)</f>
        <v>273020</v>
      </c>
      <c r="AB61" s="194">
        <f>SUM(AB58:AB60)</f>
        <v>0</v>
      </c>
      <c r="AC61" s="194">
        <f>AB10</f>
        <v>0</v>
      </c>
      <c r="AD61" s="195">
        <f>SUM(AD58:AD60)</f>
        <v>479019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-22101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206573.96005987554</v>
      </c>
      <c r="AA62" s="200">
        <f>(AA58/$Z$28+(AA59/$Z$27)+(AA60/$Z$29))</f>
        <v>273779.19452509691</v>
      </c>
      <c r="AB62" s="200">
        <f>(AB58/$Z$28)+(AB59/$Z$27)</f>
        <v>0</v>
      </c>
      <c r="AC62" s="200">
        <f>AB9</f>
        <v>0</v>
      </c>
      <c r="AD62" s="201">
        <f>(AD58/$Z$28+(AD59/$Z$27)+(AD60/$Z$29))</f>
        <v>480353.15458497236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-22101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-22101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-22101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120192</v>
      </c>
      <c r="AB65" s="204"/>
      <c r="AC65" s="204"/>
      <c r="AD65" s="205"/>
      <c r="AE65" s="32"/>
      <c r="AF65" s="53"/>
      <c r="AI65" s="103"/>
      <c r="AJ65" s="103"/>
      <c r="AK65" s="13"/>
      <c r="AL65" s="373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-22101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30490</v>
      </c>
      <c r="AB66" s="208"/>
      <c r="AC66" s="208"/>
      <c r="AD66" s="209"/>
      <c r="AE66" s="13"/>
      <c r="AF66" s="53"/>
      <c r="AI66" s="103"/>
      <c r="AJ66" s="103"/>
      <c r="AK66" s="213"/>
      <c r="AL66" s="374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-22101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L67" s="1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-22101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479067.41167262621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-22101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-22101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>
        <f>+Z61-2200</f>
        <v>203799</v>
      </c>
      <c r="AA70" s="213"/>
      <c r="AB70" s="213"/>
      <c r="AC70" s="213"/>
      <c r="AD70" s="233">
        <v>491197</v>
      </c>
      <c r="AE70" s="233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-22101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-22101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41924</v>
      </c>
      <c r="AA72" s="818" t="s">
        <v>118</v>
      </c>
      <c r="AB72" s="818"/>
      <c r="AC72" s="818"/>
      <c r="AD72" s="216">
        <v>11.25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12.75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-22101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11.25</v>
      </c>
      <c r="AA73" s="673" t="s">
        <v>120</v>
      </c>
      <c r="AB73" s="673"/>
      <c r="AC73" s="673"/>
      <c r="AD73" s="219">
        <f>24-AD72</f>
        <v>12.75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40470.588235294119</v>
      </c>
      <c r="AO73" s="373">
        <f>AN73*AM72/24</f>
        <v>21500</v>
      </c>
      <c r="AP73" s="19">
        <f>21500*AD72/24</f>
        <v>10078.125</v>
      </c>
      <c r="AQ73" s="19">
        <f>21500-AP73</f>
        <v>11421.875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-22101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672" t="s">
        <v>127</v>
      </c>
      <c r="AK74" s="819"/>
      <c r="AL74" s="819"/>
      <c r="AM74" s="20" t="s">
        <v>232</v>
      </c>
      <c r="AN74" s="19">
        <f>Z79-AN73</f>
        <v>291974.4117647059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-22101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672" t="s">
        <v>121</v>
      </c>
      <c r="Z75" s="672" t="s">
        <v>122</v>
      </c>
      <c r="AA75" s="672" t="s">
        <v>123</v>
      </c>
      <c r="AB75" s="820" t="s">
        <v>124</v>
      </c>
      <c r="AC75" s="821"/>
      <c r="AD75" s="822"/>
      <c r="AE75" s="672" t="s">
        <v>125</v>
      </c>
      <c r="AF75" s="672" t="s">
        <v>126</v>
      </c>
      <c r="AG75" s="149"/>
      <c r="AH75" s="672" t="s">
        <v>121</v>
      </c>
      <c r="AI75" s="672"/>
      <c r="AJ75" s="214" t="s">
        <v>7</v>
      </c>
      <c r="AK75" s="236">
        <f>((+AD78-AA78)/$AD$73)*24</f>
        <v>80720.941176470587</v>
      </c>
      <c r="AL75" s="236">
        <f>AK75</f>
        <v>80720.941176470587</v>
      </c>
      <c r="AM75" s="20" t="s">
        <v>7</v>
      </c>
      <c r="AN75" s="19">
        <f>AD58</f>
        <v>82499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-22101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672"/>
      <c r="Z76" s="672"/>
      <c r="AA76" s="672"/>
      <c r="AB76" s="672"/>
      <c r="AC76" s="672"/>
      <c r="AD76" s="672"/>
      <c r="AE76" s="672"/>
      <c r="AF76" s="672"/>
      <c r="AG76" s="149"/>
      <c r="AH76" s="672"/>
      <c r="AI76" s="672"/>
      <c r="AJ76" s="214" t="s">
        <v>6</v>
      </c>
      <c r="AK76" s="236">
        <f>((+AD79-AA79)/$AD$73)*24</f>
        <v>323041.8823529412</v>
      </c>
      <c r="AL76" s="236">
        <f>+AK76</f>
        <v>323041.8823529412</v>
      </c>
      <c r="AM76" s="464"/>
      <c r="AN76" s="19">
        <f>SUM(AN73:AN75)</f>
        <v>414944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-22101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672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672"/>
      <c r="AI77" s="78"/>
      <c r="AJ77" s="214" t="s">
        <v>8</v>
      </c>
      <c r="AK77" s="236">
        <f>((+AD80-AA80)/$AD$73)*24</f>
        <v>65554.823529411762</v>
      </c>
      <c r="AL77" s="236">
        <f>AK77</f>
        <v>65554.823529411762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-22101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>
        <v>80499</v>
      </c>
      <c r="AA78" s="225">
        <v>39616</v>
      </c>
      <c r="AB78" s="226">
        <f t="shared" ref="AB78:AC80" si="23">+Z58</f>
        <v>17880</v>
      </c>
      <c r="AC78" s="226">
        <f t="shared" si="23"/>
        <v>64619</v>
      </c>
      <c r="AD78" s="226">
        <f>+AB78+AC78+AB58+AC58</f>
        <v>82499</v>
      </c>
      <c r="AE78" s="519">
        <f>+((AD58/24)*$AD$73)+AA78</f>
        <v>83443.59375</v>
      </c>
      <c r="AF78" s="227">
        <f>+AE78-AD78</f>
        <v>944.59375</v>
      </c>
      <c r="AG78" s="212"/>
      <c r="AH78" s="214" t="s">
        <v>7</v>
      </c>
      <c r="AI78" s="446">
        <f>+AA78</f>
        <v>39616</v>
      </c>
      <c r="AK78" s="231">
        <f>+SUM(AK75:AK77)</f>
        <v>469317.64705882355</v>
      </c>
      <c r="AL78" s="231">
        <f>+SUM(AL75:AL77)</f>
        <v>469317.64705882355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-22101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>
        <v>332445</v>
      </c>
      <c r="AA79" s="225">
        <v>158829</v>
      </c>
      <c r="AB79" s="226">
        <f t="shared" si="23"/>
        <v>175820</v>
      </c>
      <c r="AC79" s="226">
        <f t="shared" si="23"/>
        <v>154625</v>
      </c>
      <c r="AD79" s="226">
        <f>+AB79+AC79+AB59</f>
        <v>330445</v>
      </c>
      <c r="AE79" s="519">
        <f>+((AD59/24)*$AD$73)+AA79</f>
        <v>334377.90625</v>
      </c>
      <c r="AF79" s="227">
        <f>+AE79-AD79</f>
        <v>3932.90625</v>
      </c>
      <c r="AG79" s="212"/>
      <c r="AH79" s="214" t="s">
        <v>6</v>
      </c>
      <c r="AI79" s="446">
        <f>+AA79</f>
        <v>158829</v>
      </c>
      <c r="AJ79" s="53"/>
      <c r="AK79" s="481">
        <f>Z10</f>
        <v>479067</v>
      </c>
      <c r="AL79" s="481">
        <f>AK79-AK78</f>
        <v>9749.3529411764466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-22101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>
        <v>66075</v>
      </c>
      <c r="AA80" s="225">
        <v>31249</v>
      </c>
      <c r="AB80" s="226">
        <f t="shared" si="23"/>
        <v>12299</v>
      </c>
      <c r="AC80" s="226">
        <f t="shared" si="23"/>
        <v>53776</v>
      </c>
      <c r="AD80" s="226">
        <f>+AB80+AC80</f>
        <v>66075</v>
      </c>
      <c r="AE80" s="519">
        <f>+((AD60/24)*$AD$73)+AA80</f>
        <v>66351.34375</v>
      </c>
      <c r="AF80" s="227">
        <f>+AE80-AD80</f>
        <v>276.34375</v>
      </c>
      <c r="AG80" s="149"/>
      <c r="AH80" s="214" t="s">
        <v>8</v>
      </c>
      <c r="AI80" s="447">
        <f>+AA80</f>
        <v>31249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-22101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479019</v>
      </c>
      <c r="AA81" s="230">
        <f t="shared" si="24"/>
        <v>229694</v>
      </c>
      <c r="AB81" s="229">
        <f t="shared" si="24"/>
        <v>205999</v>
      </c>
      <c r="AC81" s="229">
        <f t="shared" si="24"/>
        <v>273020</v>
      </c>
      <c r="AD81" s="229">
        <f t="shared" si="24"/>
        <v>479019</v>
      </c>
      <c r="AE81" s="229">
        <f t="shared" si="24"/>
        <v>484172.84375</v>
      </c>
      <c r="AF81" s="227">
        <f>+SUM(AF78:AF80)</f>
        <v>5153.84375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-22101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-22101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-22101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-22101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-22101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229694</v>
      </c>
      <c r="AB86" s="337">
        <f>AA87-AA86</f>
        <v>42495.729166666686</v>
      </c>
      <c r="AC86" s="42">
        <f>AB86*24/5.5</f>
        <v>185435.90909090918</v>
      </c>
      <c r="AD86" s="338">
        <f>AC86+353111</f>
        <v>538546.90909090918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-22101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123417.00000000001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-22101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-22101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-22101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-22101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-22101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587">
        <f>SUMIF($D$2:$D$57,"domiciliario",$I$2:$I$103)</f>
        <v>9633</v>
      </c>
      <c r="AB92" s="626">
        <f>SUMIF($D$2:$D$57,"domiciliario",$T$2:$T$103)</f>
        <v>9633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-22101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589">
        <f>SUMIF($D$2:$D$57,"industrial",$I$2:$I$103)</f>
        <v>0</v>
      </c>
      <c r="AB93" s="627">
        <f>SUMIF($D$2:$D$57,"industrial",$T$2:$T$103)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-22101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589">
        <f>SUMIF($D$2:$D$57,"gnv",$I$2:$I$103)</f>
        <v>247</v>
      </c>
      <c r="AB94" s="627">
        <f>SUMIF($D$2:$D$57,"gnv",$T$2:$T$103)</f>
        <v>247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-22101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8000</v>
      </c>
      <c r="AB95" s="627">
        <f>SUMIF($D$2:$D$57,"termico",$T$2:$T$103)+SUMIF($D$2:$D$57,"electrico",$T$2:$T$103)+SUMIF($D$2:$D$57,"térmico",$T$2:$T$103)</f>
        <v>8000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-22101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590" t="s">
        <v>286</v>
      </c>
      <c r="AA96" s="591"/>
      <c r="AB96" s="628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-22101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490">
        <f>SUMIF($D$2:$D$57,"domiciliario",$H$2:$H$103)</f>
        <v>32767</v>
      </c>
      <c r="AB97" s="629">
        <f>SUMIF($D$2:$D$57,"domiciliario",$S$2:$S$103)</f>
        <v>32767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-22101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493">
        <f>SUMIF($D$2:$D$57,"industrial",$H$2:$H$103)</f>
        <v>36253</v>
      </c>
      <c r="AB98" s="630">
        <f>SUMIF($D$2:$D$57,"industrial",$S$2:$S$103)</f>
        <v>36253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-22101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493">
        <f>SUMIF($D$2:$D$57,"gnv",$H$2:$H$103)</f>
        <v>0</v>
      </c>
      <c r="AB99" s="630">
        <f>SUMIF($D$2:$D$57,"gnv",$S$2:$S$103)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-22101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106800</v>
      </c>
      <c r="AB100" s="630">
        <f>SUMIF($D$2:$D$57,"termico",$S$2:$S$103)+SUMIF($D$2:$D$57,"electrico",$S$2:$S$103)+SUMIF($D$2:$D$57,"térmico",$S$2:$S$103)</f>
        <v>106800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-22101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592" t="s">
        <v>312</v>
      </c>
      <c r="AA101" s="500"/>
      <c r="AB101" s="631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-22101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624">
        <f>SUMIF($D$2:$D$57,"EXPORTACION",$J$2:$J$103)</f>
        <v>34400</v>
      </c>
      <c r="AB102" s="632">
        <f>SUMIF($D$2:$D$57,"EXPORTACION",$U$2:$U$103)</f>
        <v>12299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-22101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175820</v>
      </c>
      <c r="I105" s="252">
        <f>+SUM(I2:I103)</f>
        <v>17880</v>
      </c>
      <c r="J105" s="252">
        <f>+SUM(J2:J103)</f>
        <v>34400</v>
      </c>
      <c r="K105" s="252">
        <f>SUM(K2:K103)</f>
        <v>228100</v>
      </c>
      <c r="L105" s="253">
        <f>+L103</f>
        <v>-22101</v>
      </c>
      <c r="M105" s="252">
        <f>SUM(M2:M103)</f>
        <v>0</v>
      </c>
      <c r="N105" s="252">
        <f>SUM(N2:N103)</f>
        <v>228100</v>
      </c>
      <c r="O105" s="252"/>
      <c r="P105" s="252">
        <f>SUM(P2:P103)</f>
        <v>0</v>
      </c>
      <c r="Q105" s="252">
        <f>SUM(Q2:Q103)</f>
        <v>0</v>
      </c>
      <c r="R105" s="252">
        <f>SUM(R2:R103)</f>
        <v>-22101</v>
      </c>
      <c r="S105" s="252">
        <f>SUM(S2:S103)</f>
        <v>175820</v>
      </c>
      <c r="T105" s="252">
        <f>+SUM(T2:T103)</f>
        <v>17880</v>
      </c>
      <c r="U105" s="252">
        <f>SUM(U2:U103)</f>
        <v>12299</v>
      </c>
      <c r="V105" s="252">
        <f>SUM(V2:V103)</f>
        <v>205999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255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/>
      <c r="J108" s="255"/>
      <c r="K108" s="667">
        <f>K105-K107</f>
        <v>207600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19" priority="3" operator="lessThan">
      <formula>$AA$78</formula>
    </cfRule>
    <cfRule type="cellIs" dxfId="118" priority="5" operator="greaterThan">
      <formula>$AE$78</formula>
    </cfRule>
  </conditionalFormatting>
  <conditionalFormatting sqref="AA79">
    <cfRule type="cellIs" dxfId="117" priority="4" operator="greaterThan">
      <formula>$AE$79</formula>
    </cfRule>
  </conditionalFormatting>
  <conditionalFormatting sqref="AA80">
    <cfRule type="cellIs" dxfId="116" priority="2" operator="greaterThan">
      <formula>$AE$79</formula>
    </cfRule>
  </conditionalFormatting>
  <conditionalFormatting sqref="AU4:AU23">
    <cfRule type="cellIs" dxfId="11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2060"/>
  </sheetPr>
  <dimension ref="A1:AX186"/>
  <sheetViews>
    <sheetView topLeftCell="P31" zoomScale="80" zoomScaleNormal="80" workbookViewId="0">
      <selection activeCell="Z30" sqref="Z30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59">
        <v>3000</v>
      </c>
      <c r="I2" s="26">
        <v>0</v>
      </c>
      <c r="J2" s="26"/>
      <c r="K2" s="27">
        <f>SUM(H2:J2)</f>
        <v>3000</v>
      </c>
      <c r="L2" s="28">
        <f>AA4-K2</f>
        <v>209431</v>
      </c>
      <c r="M2" s="29"/>
      <c r="N2" s="798">
        <f>SUM(K2:K26)</f>
        <v>196397</v>
      </c>
      <c r="O2" s="30">
        <f>+K2/$N$2</f>
        <v>1.5275182411136626E-2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209431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675" t="s">
        <v>31</v>
      </c>
      <c r="AE2" s="675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59">
        <v>1100</v>
      </c>
      <c r="J3" s="26"/>
      <c r="K3" s="27">
        <f t="shared" ref="K3:K73" si="0">SUM(H3:J3)</f>
        <v>1100</v>
      </c>
      <c r="L3" s="28">
        <f t="shared" ref="L3:L66" si="1">+L2-K3</f>
        <v>208331</v>
      </c>
      <c r="M3" s="29"/>
      <c r="N3" s="799"/>
      <c r="O3" s="30">
        <f t="shared" ref="O3:O29" si="2">+K3/$N$2</f>
        <v>5.6009002174167632E-3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208331</v>
      </c>
      <c r="X3" s="32">
        <f t="shared" ref="X3:X56" si="9">W3-L3</f>
        <v>0</v>
      </c>
      <c r="Y3" s="37" t="s">
        <v>34</v>
      </c>
      <c r="Z3" s="38">
        <f>ROUND((Z13*57%),0)</f>
        <v>282378</v>
      </c>
      <c r="AA3" s="39">
        <f>ROUND((+Z14*0.57),0)</f>
        <v>281595</v>
      </c>
      <c r="AB3" s="454">
        <f>69144+4000</f>
        <v>73144</v>
      </c>
      <c r="AC3" s="455">
        <v>154034</v>
      </c>
      <c r="AD3" s="40">
        <f>45600+8770</f>
        <v>54370</v>
      </c>
      <c r="AE3" s="41">
        <f>SUM(AB3:AD3)</f>
        <v>281548</v>
      </c>
      <c r="AF3" s="41">
        <f>AA3-AE3</f>
        <v>47</v>
      </c>
      <c r="AG3" s="641">
        <f>AA3-AB3-AC3-AD3</f>
        <v>47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59">
        <v>2400</v>
      </c>
      <c r="J4" s="26"/>
      <c r="K4" s="27">
        <f t="shared" si="0"/>
        <v>2400</v>
      </c>
      <c r="L4" s="28">
        <f t="shared" si="1"/>
        <v>205931</v>
      </c>
      <c r="M4" s="29"/>
      <c r="N4" s="799"/>
      <c r="O4" s="30">
        <f t="shared" si="2"/>
        <v>1.2220145928909302E-2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2400</v>
      </c>
      <c r="U4" s="28">
        <f t="shared" si="6"/>
        <v>0</v>
      </c>
      <c r="V4" s="28">
        <f t="shared" si="7"/>
        <v>2400</v>
      </c>
      <c r="W4" s="31">
        <f t="shared" si="8"/>
        <v>205931</v>
      </c>
      <c r="X4" s="32">
        <f t="shared" si="9"/>
        <v>0</v>
      </c>
      <c r="Y4" s="37" t="s">
        <v>38</v>
      </c>
      <c r="Z4" s="38">
        <f>ROUND((Z13*43%),0)</f>
        <v>213022</v>
      </c>
      <c r="AA4" s="39">
        <f>ROUND((+Z14*0.43),0)</f>
        <v>212431</v>
      </c>
      <c r="AB4" s="43">
        <f>T105</f>
        <v>23003</v>
      </c>
      <c r="AC4" s="43">
        <f>S105</f>
        <v>177726</v>
      </c>
      <c r="AD4" s="40">
        <f>U105</f>
        <v>11702</v>
      </c>
      <c r="AE4" s="41">
        <f>SUM(AB4:AD4)</f>
        <v>212431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59">
        <v>1200</v>
      </c>
      <c r="J5" s="26"/>
      <c r="K5" s="27">
        <f t="shared" si="0"/>
        <v>1200</v>
      </c>
      <c r="L5" s="28">
        <f t="shared" si="1"/>
        <v>204731</v>
      </c>
      <c r="M5" s="29"/>
      <c r="N5" s="799"/>
      <c r="O5" s="30">
        <f t="shared" si="2"/>
        <v>6.1100729644546509E-3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204731</v>
      </c>
      <c r="X5" s="32">
        <f t="shared" si="9"/>
        <v>0</v>
      </c>
      <c r="Y5" s="44" t="s">
        <v>41</v>
      </c>
      <c r="Z5" s="38">
        <f>SUM(Z3:Z4)</f>
        <v>495400</v>
      </c>
      <c r="AA5" s="45">
        <f>SUM(AA3:AA4)</f>
        <v>494026</v>
      </c>
      <c r="AB5" s="46">
        <f>SUM(AB3:AB4)</f>
        <v>96147</v>
      </c>
      <c r="AC5" s="41">
        <f>SUM(AC3:AC4)</f>
        <v>331760</v>
      </c>
      <c r="AD5" s="40">
        <f>SUM(AD3:AD4)</f>
        <v>66072</v>
      </c>
      <c r="AE5" s="41">
        <f>SUM(AB5:AD5)</f>
        <v>493979</v>
      </c>
      <c r="AF5" s="47">
        <f>SUM(AF3:AF4)</f>
        <v>47</v>
      </c>
      <c r="AG5" s="642">
        <f>SUM(AG3:AG4)</f>
        <v>47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59">
        <v>12000</v>
      </c>
      <c r="I6" s="26"/>
      <c r="J6" s="26"/>
      <c r="K6" s="27">
        <f t="shared" si="0"/>
        <v>12000</v>
      </c>
      <c r="L6" s="28">
        <f t="shared" si="1"/>
        <v>192731</v>
      </c>
      <c r="M6" s="29"/>
      <c r="N6" s="799"/>
      <c r="O6" s="30">
        <f t="shared" si="2"/>
        <v>6.1100729644546506E-2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192731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59">
        <f>12389+1796</f>
        <v>14185</v>
      </c>
      <c r="I7" s="559">
        <f>604+2411+800</f>
        <v>3815</v>
      </c>
      <c r="J7" s="26"/>
      <c r="K7" s="27">
        <f t="shared" si="0"/>
        <v>18000</v>
      </c>
      <c r="L7" s="28">
        <f t="shared" si="1"/>
        <v>174731</v>
      </c>
      <c r="M7" s="29"/>
      <c r="N7" s="799"/>
      <c r="O7" s="30">
        <f t="shared" si="2"/>
        <v>9.1651094466819752E-2</v>
      </c>
      <c r="P7" s="802"/>
      <c r="Q7" s="31">
        <f t="shared" si="3"/>
        <v>0</v>
      </c>
      <c r="R7" s="31"/>
      <c r="S7" s="28">
        <f t="shared" si="4"/>
        <v>14185</v>
      </c>
      <c r="T7" s="28">
        <f t="shared" si="5"/>
        <v>3815</v>
      </c>
      <c r="U7" s="28">
        <f t="shared" si="6"/>
        <v>0</v>
      </c>
      <c r="V7" s="28">
        <f t="shared" si="7"/>
        <v>18000</v>
      </c>
      <c r="W7" s="31">
        <f t="shared" si="8"/>
        <v>174731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8770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59">
        <v>2500</v>
      </c>
      <c r="I8" s="26"/>
      <c r="J8" s="26"/>
      <c r="K8" s="27">
        <f t="shared" si="0"/>
        <v>2500</v>
      </c>
      <c r="L8" s="28">
        <f t="shared" si="1"/>
        <v>172231</v>
      </c>
      <c r="M8" s="29"/>
      <c r="N8" s="799"/>
      <c r="O8" s="30">
        <f t="shared" si="2"/>
        <v>1.2729318675947189E-2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172231</v>
      </c>
      <c r="X8" s="32">
        <f t="shared" si="9"/>
        <v>0</v>
      </c>
      <c r="Y8" s="14" t="s">
        <v>47</v>
      </c>
      <c r="Z8" s="54">
        <v>41925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59">
        <v>1072</v>
      </c>
      <c r="I9" s="559">
        <v>1128</v>
      </c>
      <c r="J9" s="26"/>
      <c r="K9" s="27">
        <f t="shared" si="0"/>
        <v>2200</v>
      </c>
      <c r="L9" s="28">
        <f t="shared" si="1"/>
        <v>170031</v>
      </c>
      <c r="M9" s="29"/>
      <c r="N9" s="799"/>
      <c r="O9" s="30">
        <f t="shared" si="2"/>
        <v>1.1201800434833526E-2</v>
      </c>
      <c r="P9" s="802"/>
      <c r="Q9" s="31">
        <f t="shared" si="3"/>
        <v>0</v>
      </c>
      <c r="R9" s="31"/>
      <c r="S9" s="28">
        <f t="shared" si="4"/>
        <v>1072</v>
      </c>
      <c r="T9" s="28">
        <f t="shared" si="5"/>
        <v>1128</v>
      </c>
      <c r="U9" s="28">
        <f t="shared" si="6"/>
        <v>0</v>
      </c>
      <c r="V9" s="28">
        <f t="shared" si="7"/>
        <v>2200</v>
      </c>
      <c r="W9" s="31">
        <f t="shared" si="8"/>
        <v>170031</v>
      </c>
      <c r="X9" s="32">
        <f t="shared" si="9"/>
        <v>0</v>
      </c>
      <c r="Y9" s="14" t="s">
        <v>189</v>
      </c>
      <c r="Z9" s="58">
        <f>495400-AB9</f>
        <v>495400</v>
      </c>
      <c r="AA9" s="59">
        <f>Z9*14.65/14.73</f>
        <v>492709.43652410049</v>
      </c>
      <c r="AB9" s="309">
        <v>0</v>
      </c>
      <c r="AC9" s="17" t="s">
        <v>165</v>
      </c>
      <c r="AD9" s="651"/>
      <c r="AE9" s="651"/>
      <c r="AF9" s="651"/>
      <c r="AG9" s="651"/>
      <c r="AH9" s="651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59">
        <v>15000</v>
      </c>
      <c r="I10" s="559">
        <v>5000</v>
      </c>
      <c r="J10" s="26"/>
      <c r="K10" s="27">
        <f t="shared" si="0"/>
        <v>20000</v>
      </c>
      <c r="L10" s="28">
        <f t="shared" si="1"/>
        <v>150031</v>
      </c>
      <c r="M10" s="29"/>
      <c r="N10" s="799"/>
      <c r="O10" s="30">
        <f t="shared" si="2"/>
        <v>0.10183454940757751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28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150031</v>
      </c>
      <c r="X10" s="32">
        <f t="shared" si="9"/>
        <v>0</v>
      </c>
      <c r="Y10" s="14" t="s">
        <v>191</v>
      </c>
      <c r="Z10" s="58">
        <f>ROUND((Z9*Z30),0)</f>
        <v>494026</v>
      </c>
      <c r="AA10" s="59">
        <f>Z10*14.65/14.73</f>
        <v>491342.89884589275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59">
        <v>18000</v>
      </c>
      <c r="I11" s="26"/>
      <c r="J11" s="26"/>
      <c r="K11" s="27">
        <f t="shared" si="0"/>
        <v>18000</v>
      </c>
      <c r="L11" s="28">
        <f t="shared" si="1"/>
        <v>132031</v>
      </c>
      <c r="M11" s="29"/>
      <c r="N11" s="799"/>
      <c r="O11" s="30">
        <f t="shared" si="2"/>
        <v>9.1651094466819752E-2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132031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59">
        <v>3600</v>
      </c>
      <c r="I12" s="26"/>
      <c r="J12" s="26"/>
      <c r="K12" s="27">
        <f t="shared" si="0"/>
        <v>3600</v>
      </c>
      <c r="L12" s="28">
        <f t="shared" si="1"/>
        <v>128431</v>
      </c>
      <c r="M12" s="29"/>
      <c r="N12" s="799"/>
      <c r="O12" s="30">
        <f t="shared" si="2"/>
        <v>1.8330218893363951E-2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128431</v>
      </c>
      <c r="X12" s="32">
        <f t="shared" si="9"/>
        <v>0</v>
      </c>
      <c r="Y12" s="14" t="s">
        <v>64</v>
      </c>
      <c r="Z12" s="58"/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59">
        <v>6000</v>
      </c>
      <c r="I13" s="26">
        <v>0</v>
      </c>
      <c r="J13" s="26"/>
      <c r="K13" s="27">
        <f t="shared" si="0"/>
        <v>6000</v>
      </c>
      <c r="L13" s="28">
        <f t="shared" si="1"/>
        <v>122431</v>
      </c>
      <c r="M13" s="29"/>
      <c r="N13" s="799"/>
      <c r="O13" s="30">
        <f t="shared" si="2"/>
        <v>3.0550364822273253E-2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122431</v>
      </c>
      <c r="X13" s="32">
        <f t="shared" si="9"/>
        <v>0</v>
      </c>
      <c r="Y13" s="14" t="s">
        <v>67</v>
      </c>
      <c r="Z13" s="67">
        <f>Z14/Z30</f>
        <v>495400.19758676685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59">
        <v>7297</v>
      </c>
      <c r="I14" s="26">
        <v>0</v>
      </c>
      <c r="J14" s="26"/>
      <c r="K14" s="27">
        <f t="shared" si="0"/>
        <v>7297</v>
      </c>
      <c r="L14" s="28">
        <f t="shared" si="1"/>
        <v>115134</v>
      </c>
      <c r="M14" s="29"/>
      <c r="N14" s="799"/>
      <c r="O14" s="30">
        <f t="shared" si="2"/>
        <v>3.7154335351354657E-2</v>
      </c>
      <c r="P14" s="802"/>
      <c r="Q14" s="31">
        <f t="shared" si="3"/>
        <v>0</v>
      </c>
      <c r="R14" s="31">
        <v>0</v>
      </c>
      <c r="S14" s="28">
        <f t="shared" si="4"/>
        <v>7297</v>
      </c>
      <c r="T14" s="28">
        <f t="shared" si="5"/>
        <v>0</v>
      </c>
      <c r="U14" s="28">
        <f t="shared" si="6"/>
        <v>0</v>
      </c>
      <c r="V14" s="28">
        <f t="shared" si="7"/>
        <v>7297</v>
      </c>
      <c r="W14" s="31">
        <f t="shared" si="8"/>
        <v>115134</v>
      </c>
      <c r="X14" s="32">
        <f t="shared" si="9"/>
        <v>0</v>
      </c>
      <c r="Y14" s="14" t="s">
        <v>70</v>
      </c>
      <c r="Z14" s="67">
        <f>+Z10-(Z11+Z12)</f>
        <v>494026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59">
        <v>17200</v>
      </c>
      <c r="I15" s="26"/>
      <c r="J15" s="26"/>
      <c r="K15" s="27">
        <f t="shared" si="0"/>
        <v>17200</v>
      </c>
      <c r="L15" s="28">
        <f t="shared" si="1"/>
        <v>97934</v>
      </c>
      <c r="M15" s="29"/>
      <c r="N15" s="799"/>
      <c r="O15" s="30">
        <f t="shared" si="2"/>
        <v>8.7577712490516657E-2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97934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59">
        <v>20500</v>
      </c>
      <c r="I16" s="26"/>
      <c r="J16" s="26"/>
      <c r="K16" s="27">
        <f t="shared" si="0"/>
        <v>20500</v>
      </c>
      <c r="L16" s="28">
        <f t="shared" si="1"/>
        <v>77434</v>
      </c>
      <c r="M16" s="29"/>
      <c r="N16" s="799"/>
      <c r="O16" s="30">
        <f t="shared" si="2"/>
        <v>0.10438041314276694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77434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639">
        <v>4372</v>
      </c>
      <c r="I17" s="639">
        <v>1411</v>
      </c>
      <c r="J17" s="26"/>
      <c r="K17" s="27">
        <f t="shared" si="0"/>
        <v>5783</v>
      </c>
      <c r="L17" s="28">
        <f t="shared" si="1"/>
        <v>71651</v>
      </c>
      <c r="M17" s="29"/>
      <c r="N17" s="799"/>
      <c r="O17" s="30">
        <f t="shared" si="2"/>
        <v>2.9445459961201036E-2</v>
      </c>
      <c r="P17" s="802"/>
      <c r="Q17" s="31">
        <f t="shared" si="3"/>
        <v>0</v>
      </c>
      <c r="R17" s="31">
        <v>0</v>
      </c>
      <c r="S17" s="28">
        <f t="shared" si="4"/>
        <v>4372</v>
      </c>
      <c r="T17" s="28">
        <f t="shared" si="5"/>
        <v>1411</v>
      </c>
      <c r="U17" s="28">
        <f t="shared" si="6"/>
        <v>0</v>
      </c>
      <c r="V17" s="28">
        <f t="shared" si="7"/>
        <v>5783</v>
      </c>
      <c r="W17" s="31">
        <f t="shared" si="8"/>
        <v>71651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639">
        <v>217</v>
      </c>
      <c r="J18" s="26"/>
      <c r="K18" s="27">
        <f t="shared" si="0"/>
        <v>217</v>
      </c>
      <c r="L18" s="28">
        <f t="shared" si="1"/>
        <v>71434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217</v>
      </c>
      <c r="U18" s="28">
        <f t="shared" si="6"/>
        <v>0</v>
      </c>
      <c r="V18" s="28">
        <f t="shared" si="7"/>
        <v>217</v>
      </c>
      <c r="W18" s="31">
        <f t="shared" si="8"/>
        <v>71434</v>
      </c>
      <c r="X18" s="32"/>
      <c r="Y18" s="14" t="s">
        <v>77</v>
      </c>
      <c r="Z18" s="71">
        <f>ROUND(Z14*0.43,0)</f>
        <v>212431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/>
      <c r="I19" s="26"/>
      <c r="J19" s="26"/>
      <c r="K19" s="27">
        <f t="shared" si="0"/>
        <v>0</v>
      </c>
      <c r="L19" s="28">
        <f t="shared" si="1"/>
        <v>71434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71434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59">
        <v>1500</v>
      </c>
      <c r="I20" s="26">
        <v>0</v>
      </c>
      <c r="J20" s="26"/>
      <c r="K20" s="27">
        <f t="shared" si="0"/>
        <v>1500</v>
      </c>
      <c r="L20" s="28">
        <f t="shared" si="1"/>
        <v>69934</v>
      </c>
      <c r="M20" s="29"/>
      <c r="N20" s="799"/>
      <c r="O20" s="30">
        <f t="shared" si="2"/>
        <v>7.6375912055683132E-3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69934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69934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69934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59">
        <v>7500</v>
      </c>
      <c r="I22" s="559">
        <v>0</v>
      </c>
      <c r="J22" s="26"/>
      <c r="K22" s="27">
        <f t="shared" si="0"/>
        <v>7500</v>
      </c>
      <c r="L22" s="28">
        <f t="shared" si="1"/>
        <v>62434</v>
      </c>
      <c r="M22" s="29"/>
      <c r="N22" s="799"/>
      <c r="O22" s="30">
        <f t="shared" si="2"/>
        <v>3.8187956027841564E-2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62434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62434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62434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62434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62434</v>
      </c>
      <c r="X24" s="32">
        <f t="shared" si="9"/>
        <v>0</v>
      </c>
      <c r="Y24" s="74" t="s">
        <v>169</v>
      </c>
      <c r="Z24" s="680">
        <f>+Z18+Z19</f>
        <v>212431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59">
        <v>12000</v>
      </c>
      <c r="I25" s="26"/>
      <c r="J25" s="26"/>
      <c r="K25" s="27">
        <f t="shared" si="0"/>
        <v>12000</v>
      </c>
      <c r="L25" s="28">
        <f t="shared" si="1"/>
        <v>50434</v>
      </c>
      <c r="M25" s="29"/>
      <c r="N25" s="799"/>
      <c r="O25" s="30">
        <f t="shared" si="2"/>
        <v>6.1100729644546506E-2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50434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78">
        <v>34400</v>
      </c>
      <c r="K26" s="442">
        <f t="shared" si="0"/>
        <v>34400</v>
      </c>
      <c r="L26" s="28">
        <f t="shared" si="1"/>
        <v>16034</v>
      </c>
      <c r="M26" s="86"/>
      <c r="N26" s="800"/>
      <c r="O26" s="87">
        <f t="shared" si="2"/>
        <v>0.17515542498103331</v>
      </c>
      <c r="P26" s="803"/>
      <c r="Q26" s="144">
        <f t="shared" si="3"/>
        <v>0</v>
      </c>
      <c r="R26" s="144">
        <v>-22698</v>
      </c>
      <c r="S26" s="423">
        <f t="shared" si="4"/>
        <v>0</v>
      </c>
      <c r="T26" s="423">
        <f t="shared" si="5"/>
        <v>0</v>
      </c>
      <c r="U26" s="423">
        <f t="shared" si="6"/>
        <v>11702</v>
      </c>
      <c r="V26" s="423">
        <f t="shared" si="7"/>
        <v>11702</v>
      </c>
      <c r="W26" s="31">
        <f t="shared" si="8"/>
        <v>38732</v>
      </c>
      <c r="X26" s="32">
        <f t="shared" si="9"/>
        <v>22698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16034</v>
      </c>
      <c r="M27" s="95"/>
      <c r="N27" s="804">
        <f>SUM(K27:K49)</f>
        <v>30000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8"/>
        <v>38732</v>
      </c>
      <c r="X27" s="32">
        <f t="shared" si="9"/>
        <v>22698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16034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38732</v>
      </c>
      <c r="X28" s="32">
        <f t="shared" si="9"/>
        <v>22698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16034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38732</v>
      </c>
      <c r="X29" s="32">
        <f t="shared" si="9"/>
        <v>22698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16034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38732</v>
      </c>
      <c r="X30" s="32">
        <f t="shared" si="9"/>
        <v>22698</v>
      </c>
      <c r="Y30" s="74" t="s">
        <v>89</v>
      </c>
      <c r="Z30" s="682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16034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38732</v>
      </c>
      <c r="X31" s="32">
        <f t="shared" si="9"/>
        <v>22698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16034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38732</v>
      </c>
      <c r="X32" s="32">
        <f t="shared" si="9"/>
        <v>22698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16034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38732</v>
      </c>
      <c r="X33" s="32">
        <f t="shared" si="9"/>
        <v>22698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16034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38732</v>
      </c>
      <c r="X34" s="32">
        <f t="shared" si="9"/>
        <v>22698</v>
      </c>
      <c r="Y34" s="806"/>
      <c r="Z34" s="112">
        <v>80000</v>
      </c>
      <c r="AA34" s="113">
        <f>AD5-Z34</f>
        <v>-13928</v>
      </c>
      <c r="AB34" s="113">
        <f>Z34+AA34</f>
        <v>66072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16034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38732</v>
      </c>
      <c r="X35" s="32">
        <f>W35-L35</f>
        <v>22698</v>
      </c>
      <c r="Y35" s="117" t="s">
        <v>56</v>
      </c>
      <c r="Z35" s="113">
        <f>Z34*43%</f>
        <v>34400</v>
      </c>
      <c r="AA35" s="113">
        <f>AD4-Z35</f>
        <v>-22698</v>
      </c>
      <c r="AB35" s="113">
        <f>Z35+AA35</f>
        <v>11702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16034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38732</v>
      </c>
      <c r="X36" s="32">
        <f t="shared" si="9"/>
        <v>22698</v>
      </c>
      <c r="Y36" s="117" t="s">
        <v>60</v>
      </c>
      <c r="Z36" s="113">
        <f>Z34*57%</f>
        <v>45599.999999999993</v>
      </c>
      <c r="AA36" s="113">
        <f>AD3-Z36</f>
        <v>8770.0000000000073</v>
      </c>
      <c r="AB36" s="113">
        <f>Z36+AA36</f>
        <v>54370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16034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38732</v>
      </c>
      <c r="X37" s="32">
        <f t="shared" si="9"/>
        <v>22698</v>
      </c>
      <c r="Y37" s="117" t="s">
        <v>94</v>
      </c>
      <c r="Z37" s="113">
        <f>+Z35+Z36</f>
        <v>80000</v>
      </c>
      <c r="AA37" s="113">
        <f>SUM(AA35:AA36)</f>
        <v>-13927.999999999993</v>
      </c>
      <c r="AB37" s="113">
        <f>Z37+AA37</f>
        <v>66072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59">
        <v>20000</v>
      </c>
      <c r="I38" s="26"/>
      <c r="J38" s="26"/>
      <c r="K38" s="27">
        <f t="shared" si="0"/>
        <v>20000</v>
      </c>
      <c r="L38" s="28">
        <f>+L37-K38</f>
        <v>-3966</v>
      </c>
      <c r="M38" s="29"/>
      <c r="N38" s="799"/>
      <c r="O38" s="30">
        <f t="shared" si="10"/>
        <v>0.66666666666666663</v>
      </c>
      <c r="P38" s="802"/>
      <c r="Q38" s="31">
        <f t="shared" si="11"/>
        <v>0</v>
      </c>
      <c r="R38" s="31"/>
      <c r="S38" s="28">
        <f t="shared" si="4"/>
        <v>20000</v>
      </c>
      <c r="T38" s="28">
        <f t="shared" si="5"/>
        <v>0</v>
      </c>
      <c r="U38" s="28">
        <f t="shared" si="6"/>
        <v>0</v>
      </c>
      <c r="V38" s="28">
        <f t="shared" si="7"/>
        <v>20000</v>
      </c>
      <c r="W38" s="31">
        <f t="shared" si="8"/>
        <v>18732</v>
      </c>
      <c r="X38" s="32">
        <f t="shared" si="9"/>
        <v>22698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-3966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18732</v>
      </c>
      <c r="X39" s="32">
        <f t="shared" si="9"/>
        <v>22698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-3966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18732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-3966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18732</v>
      </c>
      <c r="X41" s="32">
        <f t="shared" si="9"/>
        <v>22698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-3966</v>
      </c>
      <c r="M42" s="29"/>
      <c r="N42" s="799"/>
      <c r="O42" s="30">
        <f t="shared" si="10"/>
        <v>0</v>
      </c>
      <c r="P42" s="802"/>
      <c r="Q42" s="31">
        <f t="shared" si="11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8"/>
        <v>18732</v>
      </c>
      <c r="X42" s="32">
        <f t="shared" si="9"/>
        <v>22698</v>
      </c>
      <c r="Y42" s="74" t="s">
        <v>96</v>
      </c>
      <c r="Z42" s="75">
        <v>35500</v>
      </c>
      <c r="AA42" s="129">
        <f>+H7+H8+H17+H18+H19+H22+H32+H33+H43+H44+H45+H53</f>
        <v>30557</v>
      </c>
      <c r="AB42" s="129">
        <f>+I7+I8+I17+I18+I19+I22+I32+I33+I43+I44+I45+I53</f>
        <v>5443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-3966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18732</v>
      </c>
      <c r="X43" s="32">
        <f t="shared" si="9"/>
        <v>22698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-3966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18732</v>
      </c>
      <c r="X44" s="32">
        <f t="shared" si="9"/>
        <v>22698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-3966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18732</v>
      </c>
      <c r="X45" s="32">
        <f t="shared" si="9"/>
        <v>22698</v>
      </c>
      <c r="Y45" s="131" t="s">
        <v>98</v>
      </c>
      <c r="Z45" s="132">
        <v>9600</v>
      </c>
      <c r="AA45" s="133">
        <f>+H12+H13+H37+H38</f>
        <v>29600</v>
      </c>
      <c r="AB45" s="133">
        <f>+I12+I13+I37+I38</f>
        <v>0</v>
      </c>
      <c r="AC45" s="133">
        <f>+AA45+AB45</f>
        <v>29600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59">
        <v>10000</v>
      </c>
      <c r="I46" s="26"/>
      <c r="J46" s="26"/>
      <c r="K46" s="27">
        <f t="shared" si="0"/>
        <v>10000</v>
      </c>
      <c r="L46" s="28">
        <f>+L45-K46</f>
        <v>-13966</v>
      </c>
      <c r="M46" s="29"/>
      <c r="N46" s="799"/>
      <c r="O46" s="30">
        <f t="shared" si="10"/>
        <v>0.33333333333333331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8732</v>
      </c>
      <c r="X46" s="32">
        <f t="shared" si="9"/>
        <v>22698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-13966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8732</v>
      </c>
      <c r="X47" s="32">
        <f t="shared" si="9"/>
        <v>22698</v>
      </c>
      <c r="Y47" s="57">
        <v>20000</v>
      </c>
      <c r="Z47" s="89">
        <v>4586</v>
      </c>
      <c r="AA47" s="35"/>
      <c r="AB47" s="57">
        <f>57000-AA60</f>
        <v>2630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-13966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8732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-13966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8"/>
        <v>8732</v>
      </c>
      <c r="X49" s="32">
        <f t="shared" si="9"/>
        <v>22698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-13966</v>
      </c>
      <c r="M50" s="95"/>
      <c r="N50" s="804">
        <f>SUM(K50:K55)</f>
        <v>8732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8"/>
        <v>8732</v>
      </c>
      <c r="X50" s="32">
        <f t="shared" si="9"/>
        <v>22698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26"/>
      <c r="J51" s="611"/>
      <c r="K51" s="27">
        <f t="shared" si="0"/>
        <v>0</v>
      </c>
      <c r="L51" s="28">
        <f t="shared" si="1"/>
        <v>-13966</v>
      </c>
      <c r="M51" s="234"/>
      <c r="N51" s="799"/>
      <c r="O51" s="184"/>
      <c r="P51" s="802"/>
      <c r="Q51" s="138">
        <f t="shared" si="11"/>
        <v>0</v>
      </c>
      <c r="R51" s="31">
        <f>K51*$P$50/SUM($K$50:$K$55)-K51</f>
        <v>0</v>
      </c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8732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-13966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8732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59">
        <v>2000</v>
      </c>
      <c r="I53" s="26"/>
      <c r="J53" s="26"/>
      <c r="K53" s="27">
        <f t="shared" si="0"/>
        <v>2000</v>
      </c>
      <c r="L53" s="28">
        <f>+L52-K53</f>
        <v>-15966</v>
      </c>
      <c r="M53" s="29"/>
      <c r="N53" s="799"/>
      <c r="O53" s="30">
        <f t="shared" si="10"/>
        <v>6.6666666666666666E-2</v>
      </c>
      <c r="P53" s="802"/>
      <c r="Q53" s="97">
        <f t="shared" si="11"/>
        <v>0</v>
      </c>
      <c r="R53" s="31">
        <v>0</v>
      </c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8"/>
        <v>6732</v>
      </c>
      <c r="X53" s="32">
        <f t="shared" si="9"/>
        <v>22698</v>
      </c>
      <c r="Y53" s="80">
        <f>+Y52-15000</f>
        <v>-2513.5</v>
      </c>
      <c r="Z53" s="49">
        <f>+Z60-43000</f>
        <v>-31298</v>
      </c>
      <c r="AD53" s="322"/>
      <c r="AE53" s="153"/>
      <c r="AH53" s="19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-15966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6732</v>
      </c>
      <c r="X54" s="32">
        <f t="shared" si="9"/>
        <v>22698</v>
      </c>
      <c r="Y54" s="158"/>
      <c r="Z54" s="159"/>
      <c r="AA54" s="160"/>
      <c r="AB54" s="158"/>
      <c r="AC54" s="160"/>
      <c r="AD54" s="161"/>
      <c r="AE54" s="153"/>
      <c r="AH54" s="53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59">
        <v>6732</v>
      </c>
      <c r="J55" s="143"/>
      <c r="K55" s="27">
        <f t="shared" si="0"/>
        <v>6732</v>
      </c>
      <c r="L55" s="423">
        <f t="shared" si="1"/>
        <v>-22698</v>
      </c>
      <c r="M55" s="86"/>
      <c r="N55" s="800"/>
      <c r="O55" s="87">
        <f t="shared" si="10"/>
        <v>0.22439999999999999</v>
      </c>
      <c r="P55" s="803"/>
      <c r="Q55" s="97">
        <f t="shared" si="11"/>
        <v>0</v>
      </c>
      <c r="R55" s="31">
        <v>0</v>
      </c>
      <c r="S55" s="423">
        <f t="shared" si="4"/>
        <v>0</v>
      </c>
      <c r="T55" s="28">
        <f>IF(I55&lt;&gt;0,+I55+Q55+R55,0)</f>
        <v>6732</v>
      </c>
      <c r="U55" s="423">
        <f t="shared" si="6"/>
        <v>0</v>
      </c>
      <c r="V55" s="423">
        <f>+S55+T55+U55</f>
        <v>6732</v>
      </c>
      <c r="W55" s="31">
        <f t="shared" si="8"/>
        <v>0</v>
      </c>
      <c r="X55" s="119">
        <f t="shared" si="9"/>
        <v>22698</v>
      </c>
      <c r="Y55" s="807">
        <f>Z8</f>
        <v>41925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-22698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8"/>
        <v>0</v>
      </c>
      <c r="X56" s="119">
        <f t="shared" si="9"/>
        <v>22698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-22698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-22698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8"/>
        <v>0</v>
      </c>
      <c r="X58" s="408"/>
      <c r="Y58" s="180" t="s">
        <v>7</v>
      </c>
      <c r="Z58" s="181">
        <f>+AB4</f>
        <v>23003</v>
      </c>
      <c r="AA58" s="182">
        <f>+AB3</f>
        <v>73144</v>
      </c>
      <c r="AB58" s="182">
        <f>Z12</f>
        <v>0</v>
      </c>
      <c r="AC58" s="181">
        <f>AB10</f>
        <v>0</v>
      </c>
      <c r="AD58" s="661">
        <f>SUM(Z58:AC58)</f>
        <v>96147</v>
      </c>
      <c r="AE58" s="185"/>
      <c r="AF58" s="660"/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-22698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177726</v>
      </c>
      <c r="AA59" s="182">
        <f>AC3</f>
        <v>154034</v>
      </c>
      <c r="AB59" s="182">
        <f>Z11</f>
        <v>0</v>
      </c>
      <c r="AC59" s="181">
        <v>0</v>
      </c>
      <c r="AD59" s="661">
        <f>SUM(Z59:AC59)</f>
        <v>331760</v>
      </c>
      <c r="AE59" s="185"/>
      <c r="AF59" s="51"/>
      <c r="AG59" s="51"/>
      <c r="AH59" s="51"/>
      <c r="AI59" s="51"/>
      <c r="AJ59" s="50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-22698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11702</v>
      </c>
      <c r="AA60" s="182">
        <f>+AD3+AH10</f>
        <v>54370</v>
      </c>
      <c r="AB60" s="191">
        <v>0</v>
      </c>
      <c r="AC60" s="181">
        <v>0</v>
      </c>
      <c r="AD60" s="662">
        <f>SUM(Z60:AC60)</f>
        <v>66072</v>
      </c>
      <c r="AE60" s="185"/>
      <c r="AF60" s="53"/>
      <c r="AG60" s="20"/>
      <c r="AH60" s="50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-22698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212431</v>
      </c>
      <c r="AA61" s="194">
        <f>SUM(AA58:AA60)</f>
        <v>281548</v>
      </c>
      <c r="AB61" s="194">
        <f>SUM(AB58:AB60)</f>
        <v>0</v>
      </c>
      <c r="AC61" s="194">
        <f>AB10</f>
        <v>0</v>
      </c>
      <c r="AD61" s="195">
        <f>SUM(AD58:AD60)</f>
        <v>493979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-22698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213022.77720603204</v>
      </c>
      <c r="AA62" s="200">
        <f>(AA58/$Z$28+(AA59/$Z$27)+(AA60/$Z$29))</f>
        <v>282329.34026743285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495352.11747346492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-22698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-22698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-22698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160017.01259000003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-22698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51336.133200000004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-22698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-22698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494025.80296132184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-22698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-22698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-22698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-22698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41925</v>
      </c>
      <c r="AA72" s="818" t="s">
        <v>118</v>
      </c>
      <c r="AB72" s="818"/>
      <c r="AC72" s="818"/>
      <c r="AD72" s="216"/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-22698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0</v>
      </c>
      <c r="AA73" s="676" t="s">
        <v>120</v>
      </c>
      <c r="AB73" s="676"/>
      <c r="AC73" s="676"/>
      <c r="AD73" s="219">
        <f>24-AD72</f>
        <v>24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-22698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677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-22698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677" t="s">
        <v>121</v>
      </c>
      <c r="Z75" s="677" t="s">
        <v>122</v>
      </c>
      <c r="AA75" s="677" t="s">
        <v>123</v>
      </c>
      <c r="AB75" s="820" t="s">
        <v>124</v>
      </c>
      <c r="AC75" s="821"/>
      <c r="AD75" s="822"/>
      <c r="AE75" s="677" t="s">
        <v>125</v>
      </c>
      <c r="AF75" s="677" t="s">
        <v>126</v>
      </c>
      <c r="AG75" s="149"/>
      <c r="AH75" s="677" t="s">
        <v>121</v>
      </c>
      <c r="AI75" s="677"/>
      <c r="AJ75" s="214" t="s">
        <v>7</v>
      </c>
      <c r="AK75" s="236">
        <f>((+AD78-AA78)/$AD$73)*24</f>
        <v>96147</v>
      </c>
      <c r="AL75" s="236">
        <f>AK75</f>
        <v>96147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-22698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677"/>
      <c r="Z76" s="677"/>
      <c r="AA76" s="677"/>
      <c r="AB76" s="677"/>
      <c r="AC76" s="677"/>
      <c r="AD76" s="677"/>
      <c r="AE76" s="677"/>
      <c r="AF76" s="677"/>
      <c r="AG76" s="149"/>
      <c r="AH76" s="677"/>
      <c r="AI76" s="677"/>
      <c r="AJ76" s="214" t="s">
        <v>6</v>
      </c>
      <c r="AK76" s="236">
        <f>((+AD79-AA79)/$AD$73)*24</f>
        <v>331760</v>
      </c>
      <c r="AL76" s="236">
        <f>+AK76</f>
        <v>331760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-22698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677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677"/>
      <c r="AI77" s="78"/>
      <c r="AJ77" s="214" t="s">
        <v>8</v>
      </c>
      <c r="AK77" s="236">
        <f>((+AD80-AA80)/$AD$73)*24</f>
        <v>66072</v>
      </c>
      <c r="AL77" s="236">
        <f>AK77</f>
        <v>66072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-22698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/>
      <c r="AA78" s="225"/>
      <c r="AB78" s="226">
        <f t="shared" ref="AB78:AC80" si="23">+Z58</f>
        <v>23003</v>
      </c>
      <c r="AC78" s="226">
        <f t="shared" si="23"/>
        <v>73144</v>
      </c>
      <c r="AD78" s="226">
        <f>+AB78+AC78+AB58+AC58</f>
        <v>96147</v>
      </c>
      <c r="AE78" s="519">
        <f>+((AD58/24)*$AD$73)+AA78</f>
        <v>96147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493979</v>
      </c>
      <c r="AL78" s="231">
        <f>+SUM(AL75:AL77)</f>
        <v>493979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-22698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/>
      <c r="AA79" s="225"/>
      <c r="AB79" s="226">
        <f t="shared" si="23"/>
        <v>177726</v>
      </c>
      <c r="AC79" s="226">
        <f t="shared" si="23"/>
        <v>154034</v>
      </c>
      <c r="AD79" s="226">
        <f>+AB79+AC79+AB59</f>
        <v>331760</v>
      </c>
      <c r="AE79" s="519">
        <f>+((AD59/24)*$AD$73)+AA79</f>
        <v>331760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f>Z10</f>
        <v>494026</v>
      </c>
      <c r="AL79" s="481">
        <f>AK79-AK78</f>
        <v>47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-22698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/>
      <c r="AA80" s="225"/>
      <c r="AB80" s="226">
        <f t="shared" si="23"/>
        <v>11702</v>
      </c>
      <c r="AC80" s="226">
        <f t="shared" si="23"/>
        <v>54370</v>
      </c>
      <c r="AD80" s="226">
        <f>+AB80+AC80</f>
        <v>66072</v>
      </c>
      <c r="AE80" s="519">
        <f>+((AD60/24)*$AD$73)+AA80</f>
        <v>66072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-22698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0</v>
      </c>
      <c r="AA81" s="230">
        <f t="shared" si="24"/>
        <v>0</v>
      </c>
      <c r="AB81" s="229">
        <f t="shared" si="24"/>
        <v>212431</v>
      </c>
      <c r="AC81" s="229">
        <f t="shared" si="24"/>
        <v>281548</v>
      </c>
      <c r="AD81" s="229">
        <f t="shared" si="24"/>
        <v>493979</v>
      </c>
      <c r="AE81" s="229">
        <f t="shared" si="24"/>
        <v>493979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-22698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-22698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-22698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-22698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-22698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-22698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-22698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-22698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-22698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-22698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-22698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587">
        <f>SUMIF($D$2:$D$57,"domiciliario",$I$2:$I$103)</f>
        <v>9643</v>
      </c>
      <c r="AB92" s="626">
        <f>SUMIF($D$2:$D$57,"domiciliario",$T$2:$T$103)</f>
        <v>9643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-22698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589">
        <f>SUMIF($D$2:$D$57,"industrial",$I$2:$I$103)</f>
        <v>0</v>
      </c>
      <c r="AB93" s="627">
        <f>SUMIF($D$2:$D$57,"industrial",$T$2:$T$103)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-22698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589">
        <f>SUMIF($D$2:$D$57,"gnv",$I$2:$I$103)</f>
        <v>217</v>
      </c>
      <c r="AB94" s="627">
        <f>SUMIF($D$2:$D$57,"gnv",$T$2:$T$103)</f>
        <v>217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-22698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589">
        <f>SUMIF($D$2:$D$57,"termico",$I$2:$I$103)+SUMIF($D$2:$D$57,"electrico",$I$2:$I$103)+SUMIF($D$2:$D$57,"térmico",$I$2:$I$103)</f>
        <v>13143</v>
      </c>
      <c r="AB95" s="627">
        <f>SUMIF($D$2:$D$57,"termico",$T$2:$T$103)+SUMIF($D$2:$D$57,"electrico",$T$2:$T$103)+SUMIF($D$2:$D$57,"térmico",$T$2:$T$103)</f>
        <v>13143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-22698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591"/>
      <c r="AB96" s="628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-22698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490">
        <f>SUMIF($D$2:$D$57,"domiciliario",$H$2:$H$103)</f>
        <v>32757</v>
      </c>
      <c r="AB97" s="629">
        <f>SUMIF($D$2:$D$57,"domiciliario",$S$2:$S$103)</f>
        <v>32757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-22698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493">
        <f>SUMIF($D$2:$D$57,"industrial",$H$2:$H$103)</f>
        <v>34000</v>
      </c>
      <c r="AB98" s="630">
        <f>SUMIF($D$2:$D$57,"industrial",$S$2:$S$103)</f>
        <v>34000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-22698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493">
        <f>SUMIF($D$2:$D$57,"gnv",$H$2:$H$103)</f>
        <v>0</v>
      </c>
      <c r="AB99" s="630">
        <f>SUMIF($D$2:$D$57,"gnv",$S$2:$S$103)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-22698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493">
        <f>SUMIF($D$2:$D$57,"termico",$H$2:$H$103)+SUMIF($D$2:$D$57,"electrico",$H$2:$H$103)+SUMIF($D$2:$D$57,"térmico",$H$2:$H$103)</f>
        <v>110969</v>
      </c>
      <c r="AB100" s="630">
        <f>SUMIF($D$2:$D$57,"termico",$S$2:$S$103)+SUMIF($D$2:$D$57,"electrico",$S$2:$S$103)+SUMIF($D$2:$D$57,"térmico",$S$2:$S$103)</f>
        <v>110969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-22698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312</v>
      </c>
      <c r="AA101" s="500"/>
      <c r="AB101" s="631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-22698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624">
        <f>SUMIF($D$2:$D$57,"EXPORTACION",$J$2:$J$103)</f>
        <v>34400</v>
      </c>
      <c r="AB102" s="632">
        <f>SUMIF($D$2:$D$57,"EXPORTACION",$U$2:$U$103)</f>
        <v>11702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-22698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177726</v>
      </c>
      <c r="I105" s="252">
        <f>+SUM(I2:I103)</f>
        <v>23003</v>
      </c>
      <c r="J105" s="252">
        <f>+SUM(J2:J103)</f>
        <v>34400</v>
      </c>
      <c r="K105" s="252">
        <f>SUM(K2:K103)</f>
        <v>235129</v>
      </c>
      <c r="L105" s="253">
        <f>+L103</f>
        <v>-22698</v>
      </c>
      <c r="M105" s="252">
        <f>SUM(M2:M103)</f>
        <v>0</v>
      </c>
      <c r="N105" s="252">
        <f>SUM(N2:N103)</f>
        <v>235129</v>
      </c>
      <c r="O105" s="252"/>
      <c r="P105" s="252">
        <f>SUM(P2:P103)</f>
        <v>0</v>
      </c>
      <c r="Q105" s="252">
        <f>SUM(Q2:Q103)</f>
        <v>0</v>
      </c>
      <c r="R105" s="252">
        <f>SUM(R2:R103)</f>
        <v>-22698</v>
      </c>
      <c r="S105" s="252">
        <f>SUM(S2:S103)</f>
        <v>177726</v>
      </c>
      <c r="T105" s="252">
        <f>+SUM(T2:T103)</f>
        <v>23003</v>
      </c>
      <c r="U105" s="252">
        <f>SUM(U2:U103)</f>
        <v>11702</v>
      </c>
      <c r="V105" s="252">
        <f>SUM(V2:V103)</f>
        <v>212431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>
        <f>H105-20500</f>
        <v>157226</v>
      </c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>
        <v>128340</v>
      </c>
      <c r="I108" s="255"/>
      <c r="J108" s="255"/>
      <c r="K108" s="667">
        <f>K105-K107</f>
        <v>214629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>
        <f>H107-H108</f>
        <v>28886</v>
      </c>
      <c r="I109" s="255"/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7297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>
        <f>H107-H105-H109</f>
        <v>-49386</v>
      </c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</mergeCells>
  <conditionalFormatting sqref="AA78">
    <cfRule type="cellIs" dxfId="114" priority="3" operator="lessThan">
      <formula>$AA$78</formula>
    </cfRule>
    <cfRule type="cellIs" dxfId="113" priority="5" operator="greaterThan">
      <formula>$AE$78</formula>
    </cfRule>
  </conditionalFormatting>
  <conditionalFormatting sqref="AA79">
    <cfRule type="cellIs" dxfId="112" priority="4" operator="greaterThan">
      <formula>$AE$79</formula>
    </cfRule>
  </conditionalFormatting>
  <conditionalFormatting sqref="AA80">
    <cfRule type="cellIs" dxfId="111" priority="2" operator="greaterThan">
      <formula>$AE$79</formula>
    </cfRule>
  </conditionalFormatting>
  <conditionalFormatting sqref="AU4:AU23">
    <cfRule type="cellIs" dxfId="11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2060"/>
  </sheetPr>
  <dimension ref="A1:AX186"/>
  <sheetViews>
    <sheetView topLeftCell="P1" zoomScaleNormal="100" workbookViewId="0">
      <selection activeCell="Z17" sqref="Z17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209388</v>
      </c>
      <c r="M2" s="29"/>
      <c r="N2" s="798">
        <f>SUM(K2:K26)</f>
        <v>211071</v>
      </c>
      <c r="O2" s="30">
        <f>+K2/$N$2</f>
        <v>1.4213226828886961E-2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209388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693" t="s">
        <v>31</v>
      </c>
      <c r="AE2" s="693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208288</v>
      </c>
      <c r="M3" s="29"/>
      <c r="N3" s="799"/>
      <c r="O3" s="30">
        <f t="shared" ref="O3:O29" si="2">+K3/$N$2</f>
        <v>5.2115165039252195E-3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208288</v>
      </c>
      <c r="X3" s="32">
        <f t="shared" ref="X3:X56" si="9">W3-L3</f>
        <v>0</v>
      </c>
      <c r="Y3" s="37" t="s">
        <v>34</v>
      </c>
      <c r="Z3" s="38">
        <f>ROUND((Z13*57%),0)</f>
        <v>282321</v>
      </c>
      <c r="AA3" s="39">
        <f>ROUND((+Z14*0.57),0)</f>
        <v>281538</v>
      </c>
      <c r="AB3" s="454">
        <v>57700</v>
      </c>
      <c r="AC3" s="455">
        <v>176823</v>
      </c>
      <c r="AD3" s="40">
        <v>46959</v>
      </c>
      <c r="AE3" s="41">
        <f>SUM(AB3:AD3)</f>
        <v>281482</v>
      </c>
      <c r="AF3" s="41">
        <f>AA3-AE3</f>
        <v>56</v>
      </c>
      <c r="AG3" s="641">
        <f>AA3-AB3-AC3-AD3</f>
        <v>56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612">
        <v>11193</v>
      </c>
      <c r="J4" s="26"/>
      <c r="K4" s="27">
        <f t="shared" si="0"/>
        <v>11193</v>
      </c>
      <c r="L4" s="28">
        <f t="shared" si="1"/>
        <v>197095</v>
      </c>
      <c r="M4" s="29"/>
      <c r="N4" s="799"/>
      <c r="O4" s="30">
        <f t="shared" si="2"/>
        <v>5.3029549298577255E-2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11193</v>
      </c>
      <c r="U4" s="28">
        <f t="shared" si="6"/>
        <v>0</v>
      </c>
      <c r="V4" s="28">
        <f t="shared" si="7"/>
        <v>11193</v>
      </c>
      <c r="W4" s="31">
        <f t="shared" si="8"/>
        <v>197095</v>
      </c>
      <c r="X4" s="32">
        <f t="shared" si="9"/>
        <v>0</v>
      </c>
      <c r="Y4" s="37" t="s">
        <v>38</v>
      </c>
      <c r="Z4" s="38">
        <f>ROUND((Z13*43%),0)</f>
        <v>212979</v>
      </c>
      <c r="AA4" s="39">
        <f>ROUND((+Z14*0.43),0)</f>
        <v>212388</v>
      </c>
      <c r="AB4" s="43">
        <f>T105</f>
        <v>25422</v>
      </c>
      <c r="AC4" s="43">
        <f>S105</f>
        <v>181188</v>
      </c>
      <c r="AD4" s="40">
        <f>U105</f>
        <v>5778</v>
      </c>
      <c r="AE4" s="41">
        <f>SUM(AB4:AD4)</f>
        <v>212388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195895</v>
      </c>
      <c r="M5" s="29"/>
      <c r="N5" s="799"/>
      <c r="O5" s="30">
        <f t="shared" si="2"/>
        <v>5.6852907315547846E-3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195895</v>
      </c>
      <c r="X5" s="32">
        <f t="shared" si="9"/>
        <v>0</v>
      </c>
      <c r="Y5" s="44" t="s">
        <v>41</v>
      </c>
      <c r="Z5" s="38">
        <f>SUM(Z3:Z4)</f>
        <v>495300</v>
      </c>
      <c r="AA5" s="45">
        <f>SUM(AA3:AA4)</f>
        <v>493926</v>
      </c>
      <c r="AB5" s="46">
        <f>SUM(AB3:AB4)</f>
        <v>83122</v>
      </c>
      <c r="AC5" s="41">
        <f>SUM(AC3:AC4)</f>
        <v>358011</v>
      </c>
      <c r="AD5" s="40">
        <f>SUM(AD3:AD4)</f>
        <v>52737</v>
      </c>
      <c r="AE5" s="41">
        <f>SUM(AB5:AD5)</f>
        <v>493870</v>
      </c>
      <c r="AF5" s="47">
        <f>SUM(AF3:AF4)</f>
        <v>56</v>
      </c>
      <c r="AG5" s="642">
        <f>SUM(AG3:AG4)</f>
        <v>56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183895</v>
      </c>
      <c r="M6" s="29"/>
      <c r="N6" s="799"/>
      <c r="O6" s="30">
        <f t="shared" si="2"/>
        <v>5.6852907315547846E-2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183895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12389+1796</f>
        <v>14185</v>
      </c>
      <c r="I7" s="518">
        <f>604+2411+800</f>
        <v>3815</v>
      </c>
      <c r="J7" s="26"/>
      <c r="K7" s="27">
        <f t="shared" si="0"/>
        <v>18000</v>
      </c>
      <c r="L7" s="28">
        <f t="shared" si="1"/>
        <v>165895</v>
      </c>
      <c r="M7" s="29"/>
      <c r="N7" s="799"/>
      <c r="O7" s="30">
        <f t="shared" si="2"/>
        <v>8.5279360973321769E-2</v>
      </c>
      <c r="P7" s="802"/>
      <c r="Q7" s="31">
        <f t="shared" si="3"/>
        <v>0</v>
      </c>
      <c r="R7" s="31"/>
      <c r="S7" s="28">
        <f t="shared" si="4"/>
        <v>14185</v>
      </c>
      <c r="T7" s="28">
        <f t="shared" si="5"/>
        <v>3815</v>
      </c>
      <c r="U7" s="28">
        <f t="shared" si="6"/>
        <v>0</v>
      </c>
      <c r="V7" s="28">
        <f t="shared" si="7"/>
        <v>18000</v>
      </c>
      <c r="W7" s="31">
        <f t="shared" si="8"/>
        <v>165895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1359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163395</v>
      </c>
      <c r="M8" s="29"/>
      <c r="N8" s="799"/>
      <c r="O8" s="30">
        <f t="shared" si="2"/>
        <v>1.1844355690739135E-2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163395</v>
      </c>
      <c r="X8" s="32">
        <f t="shared" si="9"/>
        <v>0</v>
      </c>
      <c r="Y8" s="14" t="s">
        <v>47</v>
      </c>
      <c r="Z8" s="54">
        <v>41926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1117</v>
      </c>
      <c r="I9" s="518">
        <v>1083</v>
      </c>
      <c r="J9" s="26"/>
      <c r="K9" s="27">
        <f t="shared" si="0"/>
        <v>2200</v>
      </c>
      <c r="L9" s="28">
        <f t="shared" si="1"/>
        <v>161195</v>
      </c>
      <c r="M9" s="29"/>
      <c r="N9" s="799"/>
      <c r="O9" s="30">
        <f t="shared" si="2"/>
        <v>1.0423033007850439E-2</v>
      </c>
      <c r="P9" s="802"/>
      <c r="Q9" s="31">
        <f t="shared" si="3"/>
        <v>0</v>
      </c>
      <c r="R9" s="31"/>
      <c r="S9" s="28">
        <f t="shared" si="4"/>
        <v>1117</v>
      </c>
      <c r="T9" s="28">
        <f t="shared" si="5"/>
        <v>1083</v>
      </c>
      <c r="U9" s="28">
        <f t="shared" si="6"/>
        <v>0</v>
      </c>
      <c r="V9" s="28">
        <f t="shared" si="7"/>
        <v>2200</v>
      </c>
      <c r="W9" s="31">
        <f t="shared" si="8"/>
        <v>161195</v>
      </c>
      <c r="X9" s="32">
        <f t="shared" si="9"/>
        <v>0</v>
      </c>
      <c r="Y9" s="14" t="s">
        <v>189</v>
      </c>
      <c r="Z9" s="58">
        <f>495300-AB9</f>
        <v>495300</v>
      </c>
      <c r="AA9" s="59">
        <f>Z9*14.65/14.73</f>
        <v>492609.97963340121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518">
        <v>0</v>
      </c>
      <c r="J10" s="26"/>
      <c r="K10" s="27">
        <f t="shared" si="0"/>
        <v>20000</v>
      </c>
      <c r="L10" s="28">
        <f t="shared" si="1"/>
        <v>141195</v>
      </c>
      <c r="M10" s="29"/>
      <c r="N10" s="799"/>
      <c r="O10" s="30">
        <f t="shared" si="2"/>
        <v>9.4754845525913081E-2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141195</v>
      </c>
      <c r="X10" s="32">
        <f t="shared" si="9"/>
        <v>0</v>
      </c>
      <c r="Y10" s="14" t="s">
        <v>191</v>
      </c>
      <c r="Z10" s="58">
        <f>ROUND((Z9*Z30),0)</f>
        <v>493926</v>
      </c>
      <c r="AA10" s="59">
        <f>Z10*14.65/14.73</f>
        <v>491243.44195519347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123195</v>
      </c>
      <c r="M11" s="29"/>
      <c r="N11" s="799"/>
      <c r="O11" s="30">
        <f t="shared" si="2"/>
        <v>8.5279360973321769E-2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123195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119595</v>
      </c>
      <c r="M12" s="29"/>
      <c r="N12" s="799"/>
      <c r="O12" s="30">
        <f t="shared" si="2"/>
        <v>1.7055872194664354E-2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119595</v>
      </c>
      <c r="X12" s="32">
        <f t="shared" si="9"/>
        <v>0</v>
      </c>
      <c r="Y12" s="14" t="s">
        <v>64</v>
      </c>
      <c r="Z12" s="58"/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>
        <v>0</v>
      </c>
      <c r="J13" s="26"/>
      <c r="K13" s="27">
        <f t="shared" si="0"/>
        <v>6000</v>
      </c>
      <c r="L13" s="28">
        <f t="shared" si="1"/>
        <v>113595</v>
      </c>
      <c r="M13" s="29"/>
      <c r="N13" s="799"/>
      <c r="O13" s="30">
        <f t="shared" si="2"/>
        <v>2.8426453657773923E-2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113595</v>
      </c>
      <c r="X13" s="32">
        <f t="shared" si="9"/>
        <v>0</v>
      </c>
      <c r="Y13" s="14" t="s">
        <v>67</v>
      </c>
      <c r="Z13" s="67">
        <f>Z14/Z30</f>
        <v>495299.91942375788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17200</v>
      </c>
      <c r="I14" s="26">
        <v>0</v>
      </c>
      <c r="J14" s="26"/>
      <c r="K14" s="27">
        <f t="shared" si="0"/>
        <v>17200</v>
      </c>
      <c r="L14" s="28">
        <f t="shared" si="1"/>
        <v>96395</v>
      </c>
      <c r="M14" s="29"/>
      <c r="N14" s="799"/>
      <c r="O14" s="30">
        <f t="shared" si="2"/>
        <v>8.1489167152285255E-2</v>
      </c>
      <c r="P14" s="802"/>
      <c r="Q14" s="31">
        <f t="shared" si="3"/>
        <v>0</v>
      </c>
      <c r="R14" s="31">
        <v>0</v>
      </c>
      <c r="S14" s="28">
        <f t="shared" si="4"/>
        <v>17200</v>
      </c>
      <c r="T14" s="28">
        <f t="shared" si="5"/>
        <v>0</v>
      </c>
      <c r="U14" s="28">
        <f t="shared" si="6"/>
        <v>0</v>
      </c>
      <c r="V14" s="28">
        <f t="shared" si="7"/>
        <v>17200</v>
      </c>
      <c r="W14" s="31">
        <f t="shared" si="8"/>
        <v>96395</v>
      </c>
      <c r="X14" s="32">
        <f t="shared" si="9"/>
        <v>0</v>
      </c>
      <c r="Y14" s="14" t="s">
        <v>70</v>
      </c>
      <c r="Z14" s="67">
        <f>+Z10-(Z11+Z12)</f>
        <v>493926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13178</v>
      </c>
      <c r="I15" s="26"/>
      <c r="J15" s="26"/>
      <c r="K15" s="27">
        <f t="shared" si="0"/>
        <v>13178</v>
      </c>
      <c r="L15" s="28">
        <f t="shared" si="1"/>
        <v>83217</v>
      </c>
      <c r="M15" s="29"/>
      <c r="N15" s="799"/>
      <c r="O15" s="30">
        <f t="shared" si="2"/>
        <v>6.2433967717024128E-2</v>
      </c>
      <c r="P15" s="802"/>
      <c r="Q15" s="31">
        <f t="shared" si="3"/>
        <v>0</v>
      </c>
      <c r="R15" s="31">
        <v>0</v>
      </c>
      <c r="S15" s="28">
        <f t="shared" si="4"/>
        <v>13178</v>
      </c>
      <c r="T15" s="28">
        <f t="shared" si="5"/>
        <v>0</v>
      </c>
      <c r="U15" s="28">
        <f t="shared" si="6"/>
        <v>0</v>
      </c>
      <c r="V15" s="28">
        <f t="shared" si="7"/>
        <v>13178</v>
      </c>
      <c r="W15" s="31">
        <f t="shared" si="8"/>
        <v>83217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62717</v>
      </c>
      <c r="M16" s="29"/>
      <c r="N16" s="799"/>
      <c r="O16" s="30">
        <f t="shared" si="2"/>
        <v>9.7123716664060902E-2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62717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612">
        <v>3500</v>
      </c>
      <c r="I17" s="612">
        <v>0</v>
      </c>
      <c r="J17" s="26"/>
      <c r="K17" s="27">
        <f t="shared" si="0"/>
        <v>3500</v>
      </c>
      <c r="L17" s="28">
        <f t="shared" si="1"/>
        <v>59217</v>
      </c>
      <c r="M17" s="29"/>
      <c r="N17" s="799"/>
      <c r="O17" s="30">
        <f t="shared" si="2"/>
        <v>1.658209796703479E-2</v>
      </c>
      <c r="P17" s="802"/>
      <c r="Q17" s="31">
        <f t="shared" si="3"/>
        <v>0</v>
      </c>
      <c r="R17" s="31">
        <v>0</v>
      </c>
      <c r="S17" s="28">
        <f t="shared" si="4"/>
        <v>3500</v>
      </c>
      <c r="T17" s="28">
        <f t="shared" si="5"/>
        <v>0</v>
      </c>
      <c r="U17" s="28">
        <f t="shared" si="6"/>
        <v>0</v>
      </c>
      <c r="V17" s="28">
        <f t="shared" si="7"/>
        <v>3500</v>
      </c>
      <c r="W17" s="31">
        <f t="shared" si="8"/>
        <v>59217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612">
        <v>299</v>
      </c>
      <c r="J18" s="26"/>
      <c r="K18" s="27">
        <f t="shared" si="0"/>
        <v>299</v>
      </c>
      <c r="L18" s="28">
        <f t="shared" si="1"/>
        <v>58918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299</v>
      </c>
      <c r="U18" s="28">
        <f t="shared" si="6"/>
        <v>0</v>
      </c>
      <c r="V18" s="28">
        <f t="shared" si="7"/>
        <v>299</v>
      </c>
      <c r="W18" s="31">
        <f t="shared" si="8"/>
        <v>58918</v>
      </c>
      <c r="X18" s="32"/>
      <c r="Y18" s="14" t="s">
        <v>77</v>
      </c>
      <c r="Z18" s="71">
        <f>ROUND(Z14*0.43,0)</f>
        <v>212388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612">
        <v>2201</v>
      </c>
      <c r="I19" s="26"/>
      <c r="J19" s="26"/>
      <c r="K19" s="27">
        <f t="shared" si="0"/>
        <v>2201</v>
      </c>
      <c r="L19" s="28">
        <f t="shared" si="1"/>
        <v>56717</v>
      </c>
      <c r="M19" s="29"/>
      <c r="N19" s="799"/>
      <c r="O19" s="30">
        <f t="shared" si="2"/>
        <v>1.0427770750126734E-2</v>
      </c>
      <c r="P19" s="802"/>
      <c r="Q19" s="31">
        <f t="shared" si="3"/>
        <v>0</v>
      </c>
      <c r="R19" s="31">
        <v>0</v>
      </c>
      <c r="S19" s="28">
        <f t="shared" si="4"/>
        <v>2201</v>
      </c>
      <c r="T19" s="28">
        <f t="shared" si="5"/>
        <v>0</v>
      </c>
      <c r="U19" s="28">
        <f t="shared" si="6"/>
        <v>0</v>
      </c>
      <c r="V19" s="28">
        <f t="shared" si="7"/>
        <v>2201</v>
      </c>
      <c r="W19" s="31">
        <f t="shared" si="8"/>
        <v>56717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55217</v>
      </c>
      <c r="M20" s="29"/>
      <c r="N20" s="799"/>
      <c r="O20" s="30">
        <f t="shared" si="2"/>
        <v>7.1066134144434807E-3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55217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55217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55217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47717</v>
      </c>
      <c r="M22" s="29"/>
      <c r="N22" s="799"/>
      <c r="O22" s="30">
        <f t="shared" si="2"/>
        <v>3.5533067072217407E-2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47717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47717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47717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47717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47717</v>
      </c>
      <c r="X24" s="32">
        <f t="shared" si="9"/>
        <v>0</v>
      </c>
      <c r="Y24" s="74" t="s">
        <v>169</v>
      </c>
      <c r="Z24" s="680">
        <f>+Z18+Z19</f>
        <v>212388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35717</v>
      </c>
      <c r="M25" s="29"/>
      <c r="N25" s="799"/>
      <c r="O25" s="30">
        <f t="shared" si="2"/>
        <v>5.6852907315547846E-2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35717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1317</v>
      </c>
      <c r="M26" s="86"/>
      <c r="N26" s="800"/>
      <c r="O26" s="87">
        <f t="shared" si="2"/>
        <v>0.16297833430457051</v>
      </c>
      <c r="P26" s="803"/>
      <c r="Q26" s="144">
        <f t="shared" si="3"/>
        <v>0</v>
      </c>
      <c r="R26" s="144">
        <v>-28622</v>
      </c>
      <c r="S26" s="423">
        <f t="shared" si="4"/>
        <v>0</v>
      </c>
      <c r="T26" s="423">
        <f t="shared" si="5"/>
        <v>0</v>
      </c>
      <c r="U26" s="423">
        <f t="shared" si="6"/>
        <v>5778</v>
      </c>
      <c r="V26" s="423">
        <f t="shared" si="7"/>
        <v>5778</v>
      </c>
      <c r="W26" s="144">
        <f t="shared" si="8"/>
        <v>29939</v>
      </c>
      <c r="X26" s="32">
        <f t="shared" si="9"/>
        <v>28622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1317</v>
      </c>
      <c r="M27" s="95"/>
      <c r="N27" s="804">
        <f>SUM(K27:K49)</f>
        <v>21207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29939</v>
      </c>
      <c r="X27" s="32">
        <f t="shared" si="9"/>
        <v>28622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1317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29939</v>
      </c>
      <c r="X28" s="32">
        <f t="shared" si="9"/>
        <v>28622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1317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29939</v>
      </c>
      <c r="X29" s="32">
        <f t="shared" si="9"/>
        <v>28622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1317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29939</v>
      </c>
      <c r="X30" s="32">
        <f t="shared" si="9"/>
        <v>28622</v>
      </c>
      <c r="Y30" s="74" t="s">
        <v>89</v>
      </c>
      <c r="Z30" s="682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1317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29939</v>
      </c>
      <c r="X31" s="32">
        <f t="shared" si="9"/>
        <v>28622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1317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29939</v>
      </c>
      <c r="X32" s="32">
        <f t="shared" si="9"/>
        <v>28622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1317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29939</v>
      </c>
      <c r="X33" s="32">
        <f t="shared" si="9"/>
        <v>28622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1317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29939</v>
      </c>
      <c r="X34" s="32">
        <f t="shared" si="9"/>
        <v>28622</v>
      </c>
      <c r="Y34" s="806"/>
      <c r="Z34" s="112">
        <v>80000</v>
      </c>
      <c r="AA34" s="113">
        <f>AD5-Z34</f>
        <v>-27263</v>
      </c>
      <c r="AB34" s="113">
        <f>Z34+AA34</f>
        <v>52737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1317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29939</v>
      </c>
      <c r="X35" s="32">
        <f>W35-L35</f>
        <v>28622</v>
      </c>
      <c r="Y35" s="117" t="s">
        <v>56</v>
      </c>
      <c r="Z35" s="113">
        <f>Z34*43%</f>
        <v>34400</v>
      </c>
      <c r="AA35" s="113">
        <f>AD4-Z35</f>
        <v>-28622</v>
      </c>
      <c r="AB35" s="113">
        <f>Z35+AA35</f>
        <v>5778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1317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29939</v>
      </c>
      <c r="X36" s="32">
        <f t="shared" si="9"/>
        <v>28622</v>
      </c>
      <c r="Y36" s="117" t="s">
        <v>60</v>
      </c>
      <c r="Z36" s="113">
        <f>Z34*57%</f>
        <v>45599.999999999993</v>
      </c>
      <c r="AA36" s="113">
        <f>AD3-Z36</f>
        <v>1359.0000000000073</v>
      </c>
      <c r="AB36" s="113">
        <f>Z36+AA36</f>
        <v>46959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1317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29939</v>
      </c>
      <c r="X37" s="32">
        <f t="shared" si="9"/>
        <v>28622</v>
      </c>
      <c r="Y37" s="117" t="s">
        <v>94</v>
      </c>
      <c r="Z37" s="113">
        <f>+Z35+Z36</f>
        <v>80000</v>
      </c>
      <c r="AA37" s="113">
        <f>SUM(AA35:AA36)</f>
        <v>-27262.999999999993</v>
      </c>
      <c r="AB37" s="113">
        <f>Z37+AA37</f>
        <v>52737.000000000007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612">
        <v>11207</v>
      </c>
      <c r="I38" s="26"/>
      <c r="J38" s="26"/>
      <c r="K38" s="27">
        <f t="shared" si="0"/>
        <v>11207</v>
      </c>
      <c r="L38" s="28">
        <f>+L37-K38</f>
        <v>-9890</v>
      </c>
      <c r="M38" s="29"/>
      <c r="N38" s="799"/>
      <c r="O38" s="30">
        <f t="shared" si="10"/>
        <v>0.52845758475974913</v>
      </c>
      <c r="P38" s="802"/>
      <c r="Q38" s="31">
        <f t="shared" si="11"/>
        <v>0</v>
      </c>
      <c r="R38" s="31"/>
      <c r="S38" s="28">
        <f t="shared" si="4"/>
        <v>11207</v>
      </c>
      <c r="T38" s="28">
        <f t="shared" si="5"/>
        <v>0</v>
      </c>
      <c r="U38" s="28">
        <f t="shared" si="6"/>
        <v>0</v>
      </c>
      <c r="V38" s="28">
        <f t="shared" si="7"/>
        <v>11207</v>
      </c>
      <c r="W38" s="31">
        <f t="shared" si="8"/>
        <v>18732</v>
      </c>
      <c r="X38" s="32">
        <f t="shared" si="9"/>
        <v>28622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-9890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18732</v>
      </c>
      <c r="X39" s="32">
        <f t="shared" si="9"/>
        <v>28622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-9890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18732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-9890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18732</v>
      </c>
      <c r="X41" s="32">
        <f t="shared" si="9"/>
        <v>28622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-9890</v>
      </c>
      <c r="M42" s="29"/>
      <c r="N42" s="799"/>
      <c r="O42" s="30">
        <f t="shared" si="10"/>
        <v>0</v>
      </c>
      <c r="P42" s="802"/>
      <c r="Q42" s="31">
        <f t="shared" si="11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8"/>
        <v>18732</v>
      </c>
      <c r="X42" s="32">
        <f t="shared" si="9"/>
        <v>28622</v>
      </c>
      <c r="Y42" s="74" t="s">
        <v>96</v>
      </c>
      <c r="Z42" s="75">
        <v>35500</v>
      </c>
      <c r="AA42" s="129">
        <f>+H7+H8+H17+H18+H19+H22+H32+H33+H43+H44+H45+H53</f>
        <v>31886</v>
      </c>
      <c r="AB42" s="129">
        <f>+I7+I8+I17+I18+I19+I22+I32+I33+I43+I44+I45+I53</f>
        <v>4114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-9890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18732</v>
      </c>
      <c r="X43" s="32">
        <f t="shared" si="9"/>
        <v>28622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-9890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18732</v>
      </c>
      <c r="X44" s="32">
        <f t="shared" si="9"/>
        <v>28622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-9890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18732</v>
      </c>
      <c r="X45" s="32">
        <f t="shared" si="9"/>
        <v>28622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-19890</v>
      </c>
      <c r="M46" s="29"/>
      <c r="N46" s="799"/>
      <c r="O46" s="30">
        <f t="shared" si="10"/>
        <v>0.47154241524025087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8732</v>
      </c>
      <c r="X46" s="32">
        <f t="shared" si="9"/>
        <v>28622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-19890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8732</v>
      </c>
      <c r="X47" s="32">
        <f t="shared" si="9"/>
        <v>28622</v>
      </c>
      <c r="Y47" s="57">
        <v>20000</v>
      </c>
      <c r="Z47" s="89">
        <v>4586</v>
      </c>
      <c r="AA47" s="35"/>
      <c r="AB47" s="57">
        <f>57000-AA60</f>
        <v>10041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-19890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8732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-19890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8732</v>
      </c>
      <c r="X49" s="32">
        <f t="shared" si="9"/>
        <v>28622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-19890</v>
      </c>
      <c r="M50" s="95"/>
      <c r="N50" s="804">
        <f>SUM(K50:K55)</f>
        <v>8732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8732</v>
      </c>
      <c r="X50" s="32">
        <f t="shared" si="9"/>
        <v>28622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26"/>
      <c r="J51" s="611"/>
      <c r="K51" s="27">
        <f t="shared" si="0"/>
        <v>0</v>
      </c>
      <c r="L51" s="28">
        <f t="shared" si="1"/>
        <v>-19890</v>
      </c>
      <c r="M51" s="234"/>
      <c r="N51" s="799"/>
      <c r="O51" s="184"/>
      <c r="P51" s="802"/>
      <c r="Q51" s="138">
        <f t="shared" si="11"/>
        <v>0</v>
      </c>
      <c r="R51" s="31">
        <f>K51*$P$50/SUM($K$50:$K$55)-K51</f>
        <v>0</v>
      </c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8732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-19890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8732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26"/>
      <c r="J53" s="26"/>
      <c r="K53" s="27">
        <f t="shared" si="0"/>
        <v>2000</v>
      </c>
      <c r="L53" s="28">
        <f>+L52-K53</f>
        <v>-21890</v>
      </c>
      <c r="M53" s="29"/>
      <c r="N53" s="799"/>
      <c r="O53" s="30">
        <f t="shared" si="10"/>
        <v>9.4308483048050173E-2</v>
      </c>
      <c r="P53" s="802"/>
      <c r="Q53" s="97">
        <f t="shared" si="11"/>
        <v>0</v>
      </c>
      <c r="R53" s="31">
        <v>0</v>
      </c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8"/>
        <v>6732</v>
      </c>
      <c r="X53" s="32">
        <f t="shared" si="9"/>
        <v>28622</v>
      </c>
      <c r="Y53" s="80">
        <f>+Y52-15000</f>
        <v>-2513.5</v>
      </c>
      <c r="Z53" s="49">
        <f>+Z60-43000</f>
        <v>-37222</v>
      </c>
      <c r="AD53" s="322"/>
      <c r="AE53" s="153"/>
      <c r="AH53" s="19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-21890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6732</v>
      </c>
      <c r="X54" s="32">
        <f t="shared" si="9"/>
        <v>28622</v>
      </c>
      <c r="Y54" s="158"/>
      <c r="Z54" s="159"/>
      <c r="AA54" s="160"/>
      <c r="AB54" s="158"/>
      <c r="AC54" s="160"/>
      <c r="AD54" s="161"/>
      <c r="AE54" s="153"/>
      <c r="AH54" s="53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18">
        <v>6732</v>
      </c>
      <c r="J55" s="143"/>
      <c r="K55" s="27">
        <f t="shared" si="0"/>
        <v>6732</v>
      </c>
      <c r="L55" s="423">
        <f t="shared" si="1"/>
        <v>-28622</v>
      </c>
      <c r="M55" s="86"/>
      <c r="N55" s="800"/>
      <c r="O55" s="87">
        <f t="shared" si="10"/>
        <v>0.31744235393973685</v>
      </c>
      <c r="P55" s="803"/>
      <c r="Q55" s="97">
        <f t="shared" si="11"/>
        <v>0</v>
      </c>
      <c r="R55" s="31">
        <v>0</v>
      </c>
      <c r="S55" s="423">
        <f t="shared" si="4"/>
        <v>0</v>
      </c>
      <c r="T55" s="28">
        <f>IF(I55&lt;&gt;0,+I55+Q55+R55,0)</f>
        <v>6732</v>
      </c>
      <c r="U55" s="423">
        <f t="shared" si="6"/>
        <v>0</v>
      </c>
      <c r="V55" s="423">
        <f>+S55+T55+U55</f>
        <v>6732</v>
      </c>
      <c r="W55" s="144">
        <f t="shared" si="8"/>
        <v>0</v>
      </c>
      <c r="X55" s="119">
        <f t="shared" si="9"/>
        <v>28622</v>
      </c>
      <c r="Y55" s="807">
        <f>Z8</f>
        <v>41926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-28622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28622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-28622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-28622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25422</v>
      </c>
      <c r="AA58" s="182">
        <f>+AB3</f>
        <v>57700</v>
      </c>
      <c r="AB58" s="182">
        <f>Z12</f>
        <v>0</v>
      </c>
      <c r="AC58" s="181">
        <f>AB10</f>
        <v>0</v>
      </c>
      <c r="AD58" s="661">
        <f>SUM(Z58:AC58)</f>
        <v>83122</v>
      </c>
      <c r="AE58" s="185"/>
      <c r="AF58" s="660"/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-28622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181188</v>
      </c>
      <c r="AA59" s="182">
        <f>AC3</f>
        <v>176823</v>
      </c>
      <c r="AB59" s="182">
        <f>Z11</f>
        <v>0</v>
      </c>
      <c r="AC59" s="181">
        <v>0</v>
      </c>
      <c r="AD59" s="661">
        <f>SUM(Z59:AC59)</f>
        <v>358011</v>
      </c>
      <c r="AE59" s="185"/>
      <c r="AF59" s="51"/>
      <c r="AG59" s="51"/>
      <c r="AH59" s="51"/>
      <c r="AI59" s="51"/>
      <c r="AJ59" s="50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-28622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5778</v>
      </c>
      <c r="AA60" s="182">
        <f>+AD3+AH10</f>
        <v>46959</v>
      </c>
      <c r="AB60" s="191">
        <v>0</v>
      </c>
      <c r="AC60" s="181">
        <v>0</v>
      </c>
      <c r="AD60" s="662">
        <f>SUM(Z60:AC60)</f>
        <v>52737</v>
      </c>
      <c r="AE60" s="185"/>
      <c r="AF60" s="53"/>
      <c r="AG60" s="20"/>
      <c r="AH60" s="50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-28622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212388</v>
      </c>
      <c r="AA61" s="194">
        <f>SUM(AA58:AA60)</f>
        <v>281482</v>
      </c>
      <c r="AB61" s="194">
        <f>SUM(AB58:AB60)</f>
        <v>0</v>
      </c>
      <c r="AC61" s="194">
        <f>AB10</f>
        <v>0</v>
      </c>
      <c r="AD61" s="195">
        <f>SUM(AD58:AD60)</f>
        <v>493870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-28622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212978.19691941453</v>
      </c>
      <c r="AA62" s="200">
        <f>(AA58/$Z$28+(AA59/$Z$27)+(AA60/$Z$29))</f>
        <v>282265.29155447264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495243.48847388721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-28622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310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-28622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311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-28622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157536.97910000003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-28622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19294.902000000002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-28622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-28622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493926.08035273058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-28622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-28622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-28622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-28622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41926</v>
      </c>
      <c r="AA72" s="818" t="s">
        <v>118</v>
      </c>
      <c r="AB72" s="818"/>
      <c r="AC72" s="818"/>
      <c r="AD72" s="216"/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-28622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0</v>
      </c>
      <c r="AA73" s="694" t="s">
        <v>120</v>
      </c>
      <c r="AB73" s="694"/>
      <c r="AC73" s="694"/>
      <c r="AD73" s="219">
        <f>24-AD72</f>
        <v>24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-28622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695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-28622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695" t="s">
        <v>121</v>
      </c>
      <c r="Z75" s="695" t="s">
        <v>122</v>
      </c>
      <c r="AA75" s="695" t="s">
        <v>123</v>
      </c>
      <c r="AB75" s="820" t="s">
        <v>124</v>
      </c>
      <c r="AC75" s="821"/>
      <c r="AD75" s="822"/>
      <c r="AE75" s="695" t="s">
        <v>125</v>
      </c>
      <c r="AF75" s="695" t="s">
        <v>126</v>
      </c>
      <c r="AG75" s="149"/>
      <c r="AH75" s="695" t="s">
        <v>121</v>
      </c>
      <c r="AI75" s="695"/>
      <c r="AJ75" s="214" t="s">
        <v>7</v>
      </c>
      <c r="AK75" s="236">
        <f>((+AD78-AA78)/$AD$73)*24</f>
        <v>83122</v>
      </c>
      <c r="AL75" s="236">
        <f>AK75</f>
        <v>83122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-28622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695"/>
      <c r="Z76" s="695"/>
      <c r="AA76" s="695"/>
      <c r="AB76" s="695"/>
      <c r="AC76" s="695"/>
      <c r="AD76" s="695"/>
      <c r="AE76" s="695"/>
      <c r="AF76" s="695"/>
      <c r="AG76" s="149"/>
      <c r="AH76" s="695"/>
      <c r="AI76" s="695"/>
      <c r="AJ76" s="214" t="s">
        <v>6</v>
      </c>
      <c r="AK76" s="236">
        <f>((+AD79-AA79)/$AD$73)*24</f>
        <v>358011</v>
      </c>
      <c r="AL76" s="236">
        <f>+AK76</f>
        <v>358011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-28622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695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695"/>
      <c r="AI77" s="78"/>
      <c r="AJ77" s="214" t="s">
        <v>8</v>
      </c>
      <c r="AK77" s="236">
        <f>((+AD80-AA80)/$AD$73)*24</f>
        <v>52737</v>
      </c>
      <c r="AL77" s="236">
        <f>AK77</f>
        <v>52737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-28622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/>
      <c r="AA78" s="225"/>
      <c r="AB78" s="226">
        <f t="shared" ref="AB78:AC80" si="23">+Z58</f>
        <v>25422</v>
      </c>
      <c r="AC78" s="226">
        <f t="shared" si="23"/>
        <v>57700</v>
      </c>
      <c r="AD78" s="226">
        <f>+AB78+AC78+AB58+AC58</f>
        <v>83122</v>
      </c>
      <c r="AE78" s="519">
        <f>+((AD58/24)*$AD$73)+AA78</f>
        <v>83122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493870</v>
      </c>
      <c r="AL78" s="231">
        <f>+SUM(AL75:AL77)</f>
        <v>493870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-28622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/>
      <c r="AA79" s="225"/>
      <c r="AB79" s="226">
        <f t="shared" si="23"/>
        <v>181188</v>
      </c>
      <c r="AC79" s="226">
        <f t="shared" si="23"/>
        <v>176823</v>
      </c>
      <c r="AD79" s="226">
        <f>+AB79+AC79+AB59</f>
        <v>358011</v>
      </c>
      <c r="AE79" s="519">
        <f>+((AD59/24)*$AD$73)+AA79</f>
        <v>358011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f>Z10</f>
        <v>493926</v>
      </c>
      <c r="AL79" s="481">
        <f>AK79-AK78</f>
        <v>56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-28622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/>
      <c r="AA80" s="225"/>
      <c r="AB80" s="226">
        <f t="shared" si="23"/>
        <v>5778</v>
      </c>
      <c r="AC80" s="226">
        <f t="shared" si="23"/>
        <v>46959</v>
      </c>
      <c r="AD80" s="226">
        <f>+AB80+AC80</f>
        <v>52737</v>
      </c>
      <c r="AE80" s="519">
        <f>+((AD60/24)*$AD$73)+AA80</f>
        <v>52737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-28622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0</v>
      </c>
      <c r="AA81" s="230">
        <f t="shared" si="24"/>
        <v>0</v>
      </c>
      <c r="AB81" s="229">
        <f t="shared" si="24"/>
        <v>212388</v>
      </c>
      <c r="AC81" s="229">
        <f t="shared" si="24"/>
        <v>281482</v>
      </c>
      <c r="AD81" s="229">
        <f t="shared" si="24"/>
        <v>493870</v>
      </c>
      <c r="AE81" s="229">
        <f t="shared" si="24"/>
        <v>493870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-28622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-28622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-28622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-28622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-28622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-28622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-28622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-28622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-28622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-28622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-28622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699">
        <f>(SUMIF($D$2:$D$57,"domiciliario",$I$2:$I$103))/1000</f>
        <v>18.390999999999998</v>
      </c>
      <c r="AB92" s="700">
        <f>(SUMIF($D$2:$D$57,"domiciliario",$T$2:$T$103))/1000</f>
        <v>18.390999999999998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-28622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-28622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701">
        <f>(SUMIF($D$2:$D$57,"gnv",$I$2:$I$103))/1000</f>
        <v>0.29899999999999999</v>
      </c>
      <c r="AB94" s="702">
        <f>(SUMIF($D$2:$D$57,"gnv",$T$2:$T$103))/1000</f>
        <v>0.29899999999999999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-28622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6.7320000000000002</v>
      </c>
      <c r="AB95" s="702">
        <f>(SUMIF($D$2:$D$57,"termico",$T$2:$T$103)+SUMIF($D$2:$D$57,"electrico",$T$2:$T$103)+SUMIF($D$2:$D$57,"térmico",$T$2:$T$103))/1000</f>
        <v>6.7320000000000002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-28622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-28622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705">
        <f>(SUMIF($D$2:$D$57,"domiciliario",$H$2:$H$103))/1000</f>
        <v>32.802</v>
      </c>
      <c r="AB97" s="706">
        <f>(SUMIF($D$2:$D$57,"domiciliario",$S$2:$S$103))/1000</f>
        <v>32.802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-28622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707">
        <f>(SUMIF($D$2:$D$57,"industrial",$H$2:$H$103))/1000</f>
        <v>36.201000000000001</v>
      </c>
      <c r="AB98" s="708">
        <f>(SUMIF($D$2:$D$57,"industrial",$S$2:$S$103))/1000</f>
        <v>36.201000000000001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-28622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-28622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112.185</v>
      </c>
      <c r="AB100" s="708">
        <f>(SUMIF($D$2:$D$57,"termico",$S$2:$S$103)+SUMIF($D$2:$D$57,"electrico",$S$2:$S$103)+SUMIF($D$2:$D$57,"térmico",$S$2:$S$103))/1000</f>
        <v>112.185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-28622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312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-28622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5.7779999999999996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-28622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181188</v>
      </c>
      <c r="I105" s="252">
        <f>+SUM(I2:I103)</f>
        <v>25422</v>
      </c>
      <c r="J105" s="252">
        <f>+SUM(J2:J103)</f>
        <v>34400</v>
      </c>
      <c r="K105" s="252">
        <f>SUM(K2:K103)</f>
        <v>241010</v>
      </c>
      <c r="L105" s="253">
        <f>+L103</f>
        <v>-28622</v>
      </c>
      <c r="M105" s="252">
        <f>SUM(M2:M103)</f>
        <v>0</v>
      </c>
      <c r="N105" s="252">
        <f>SUM(N2:N103)</f>
        <v>241010</v>
      </c>
      <c r="O105" s="252"/>
      <c r="P105" s="252">
        <f>SUM(P2:P103)</f>
        <v>0</v>
      </c>
      <c r="Q105" s="252">
        <f>SUM(Q2:Q103)</f>
        <v>0</v>
      </c>
      <c r="R105" s="252">
        <f>SUM(R2:R103)</f>
        <v>-28622</v>
      </c>
      <c r="S105" s="252">
        <f>SUM(S2:S103)</f>
        <v>181188</v>
      </c>
      <c r="T105" s="252">
        <f>+SUM(T2:T103)</f>
        <v>25422</v>
      </c>
      <c r="U105" s="252">
        <f>SUM(U2:U103)</f>
        <v>5778</v>
      </c>
      <c r="V105" s="252">
        <f>SUM(V2:V103)</f>
        <v>212388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220510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13178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</mergeCells>
  <conditionalFormatting sqref="AA78">
    <cfRule type="cellIs" dxfId="109" priority="3" operator="lessThan">
      <formula>$AA$78</formula>
    </cfRule>
    <cfRule type="cellIs" dxfId="108" priority="5" operator="greaterThan">
      <formula>$AE$78</formula>
    </cfRule>
  </conditionalFormatting>
  <conditionalFormatting sqref="AA79">
    <cfRule type="cellIs" dxfId="107" priority="4" operator="greaterThan">
      <formula>$AE$79</formula>
    </cfRule>
  </conditionalFormatting>
  <conditionalFormatting sqref="AA80">
    <cfRule type="cellIs" dxfId="106" priority="2" operator="greaterThan">
      <formula>$AE$79</formula>
    </cfRule>
  </conditionalFormatting>
  <conditionalFormatting sqref="AU4:AU23">
    <cfRule type="cellIs" dxfId="10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50"/>
  </sheetPr>
  <dimension ref="A1:AX186"/>
  <sheetViews>
    <sheetView topLeftCell="X29" zoomScale="90" zoomScaleNormal="90" workbookViewId="0">
      <selection activeCell="AD33" sqref="AD33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207459</v>
      </c>
      <c r="M2" s="29"/>
      <c r="N2" s="798">
        <f>SUM(K2:K26)</f>
        <v>211071</v>
      </c>
      <c r="O2" s="30">
        <f>+K2/$N$2</f>
        <v>1.4213226828886961E-2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207459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698" t="s">
        <v>31</v>
      </c>
      <c r="AE2" s="698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206359</v>
      </c>
      <c r="M3" s="29"/>
      <c r="N3" s="799"/>
      <c r="O3" s="30">
        <f t="shared" ref="O3:O29" si="2">+K3/$N$2</f>
        <v>5.2115165039252195E-3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206359</v>
      </c>
      <c r="X3" s="32">
        <f t="shared" ref="X3:X56" si="9">W3-L3</f>
        <v>0</v>
      </c>
      <c r="Y3" s="37" t="s">
        <v>34</v>
      </c>
      <c r="Z3" s="38">
        <f>ROUND((Z13*57%),0)</f>
        <v>279756</v>
      </c>
      <c r="AA3" s="39">
        <f>ROUND((+Z14*0.57),0)</f>
        <v>278980</v>
      </c>
      <c r="AB3" s="454">
        <v>66610</v>
      </c>
      <c r="AC3" s="455">
        <v>172326</v>
      </c>
      <c r="AD3" s="40">
        <v>39992</v>
      </c>
      <c r="AE3" s="41">
        <f>SUM(AB3:AD3)</f>
        <v>278928</v>
      </c>
      <c r="AF3" s="41">
        <f>AA3-AE3</f>
        <v>52</v>
      </c>
      <c r="AG3" s="641">
        <f>AA3-AB3-AC3-AD3</f>
        <v>52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1"/>
        <v>195166</v>
      </c>
      <c r="M4" s="29"/>
      <c r="N4" s="799"/>
      <c r="O4" s="30">
        <f t="shared" si="2"/>
        <v>5.3029549298577255E-2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11193</v>
      </c>
      <c r="U4" s="28">
        <f t="shared" si="6"/>
        <v>0</v>
      </c>
      <c r="V4" s="28">
        <f t="shared" si="7"/>
        <v>11193</v>
      </c>
      <c r="W4" s="31">
        <f t="shared" si="8"/>
        <v>195166</v>
      </c>
      <c r="X4" s="32">
        <f t="shared" si="9"/>
        <v>0</v>
      </c>
      <c r="Y4" s="37" t="s">
        <v>38</v>
      </c>
      <c r="Z4" s="38">
        <f>ROUND((Z13*43%),0)</f>
        <v>211044</v>
      </c>
      <c r="AA4" s="39">
        <f>ROUND((+Z14*0.43),0)</f>
        <v>210459</v>
      </c>
      <c r="AB4" s="43">
        <f>T105</f>
        <v>22415</v>
      </c>
      <c r="AC4" s="43">
        <f>S105</f>
        <v>177463</v>
      </c>
      <c r="AD4" s="40">
        <f>U105</f>
        <v>10581</v>
      </c>
      <c r="AE4" s="41">
        <f>SUM(AB4:AD4)</f>
        <v>210459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193966</v>
      </c>
      <c r="M5" s="29"/>
      <c r="N5" s="799"/>
      <c r="O5" s="30">
        <f t="shared" si="2"/>
        <v>5.6852907315547846E-3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193966</v>
      </c>
      <c r="X5" s="32">
        <f t="shared" si="9"/>
        <v>0</v>
      </c>
      <c r="Y5" s="44" t="s">
        <v>41</v>
      </c>
      <c r="Z5" s="38">
        <f>SUM(Z3:Z4)</f>
        <v>490800</v>
      </c>
      <c r="AA5" s="45">
        <f>SUM(AA3:AA4)</f>
        <v>489439</v>
      </c>
      <c r="AB5" s="46">
        <f>SUM(AB3:AB4)</f>
        <v>89025</v>
      </c>
      <c r="AC5" s="41">
        <f>SUM(AC3:AC4)</f>
        <v>349789</v>
      </c>
      <c r="AD5" s="40">
        <f>SUM(AD3:AD4)</f>
        <v>50573</v>
      </c>
      <c r="AE5" s="41">
        <f>SUM(AB5:AD5)</f>
        <v>489387</v>
      </c>
      <c r="AF5" s="47">
        <f>SUM(AF3:AF4)</f>
        <v>52</v>
      </c>
      <c r="AG5" s="642">
        <f>SUM(AG3:AG4)</f>
        <v>52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181966</v>
      </c>
      <c r="M6" s="29"/>
      <c r="N6" s="799"/>
      <c r="O6" s="30">
        <f t="shared" si="2"/>
        <v>5.6852907315547846E-2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181966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12380+1796</f>
        <v>14176</v>
      </c>
      <c r="I7" s="518">
        <f>604+2420+800</f>
        <v>3824</v>
      </c>
      <c r="J7" s="26"/>
      <c r="K7" s="27">
        <f t="shared" si="0"/>
        <v>18000</v>
      </c>
      <c r="L7" s="28">
        <f t="shared" si="1"/>
        <v>163966</v>
      </c>
      <c r="M7" s="29"/>
      <c r="N7" s="799"/>
      <c r="O7" s="30">
        <f t="shared" si="2"/>
        <v>8.5279360973321769E-2</v>
      </c>
      <c r="P7" s="802"/>
      <c r="Q7" s="31">
        <f t="shared" si="3"/>
        <v>0</v>
      </c>
      <c r="R7" s="31"/>
      <c r="S7" s="28">
        <f t="shared" si="4"/>
        <v>14176</v>
      </c>
      <c r="T7" s="28">
        <f t="shared" si="5"/>
        <v>3824</v>
      </c>
      <c r="U7" s="28">
        <f t="shared" si="6"/>
        <v>0</v>
      </c>
      <c r="V7" s="28">
        <f t="shared" si="7"/>
        <v>18000</v>
      </c>
      <c r="W7" s="31">
        <f t="shared" si="8"/>
        <v>163966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-5608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161466</v>
      </c>
      <c r="M8" s="29"/>
      <c r="N8" s="799"/>
      <c r="O8" s="30">
        <f t="shared" si="2"/>
        <v>1.1844355690739135E-2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161466</v>
      </c>
      <c r="X8" s="32">
        <f t="shared" si="9"/>
        <v>0</v>
      </c>
      <c r="Y8" s="14" t="s">
        <v>47</v>
      </c>
      <c r="Z8" s="54">
        <v>41927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410</v>
      </c>
      <c r="I9" s="518">
        <v>1790</v>
      </c>
      <c r="J9" s="26"/>
      <c r="K9" s="27">
        <f t="shared" si="0"/>
        <v>2200</v>
      </c>
      <c r="L9" s="28">
        <f t="shared" si="1"/>
        <v>159266</v>
      </c>
      <c r="M9" s="29"/>
      <c r="N9" s="799"/>
      <c r="O9" s="30">
        <f t="shared" si="2"/>
        <v>1.0423033007850439E-2</v>
      </c>
      <c r="P9" s="802"/>
      <c r="Q9" s="31">
        <f t="shared" si="3"/>
        <v>0</v>
      </c>
      <c r="R9" s="31"/>
      <c r="S9" s="28">
        <f t="shared" si="4"/>
        <v>410</v>
      </c>
      <c r="T9" s="28">
        <f t="shared" si="5"/>
        <v>1790</v>
      </c>
      <c r="U9" s="28">
        <f t="shared" si="6"/>
        <v>0</v>
      </c>
      <c r="V9" s="28">
        <f t="shared" si="7"/>
        <v>2200</v>
      </c>
      <c r="W9" s="31">
        <f t="shared" si="8"/>
        <v>159266</v>
      </c>
      <c r="X9" s="32">
        <f t="shared" si="9"/>
        <v>0</v>
      </c>
      <c r="Y9" s="14" t="s">
        <v>189</v>
      </c>
      <c r="Z9" s="58">
        <v>490800</v>
      </c>
      <c r="AA9" s="59">
        <f>Z9*14.65/14.73</f>
        <v>488134.41955193481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26">
        <v>0</v>
      </c>
      <c r="J10" s="26"/>
      <c r="K10" s="27">
        <f t="shared" si="0"/>
        <v>20000</v>
      </c>
      <c r="L10" s="28">
        <f t="shared" si="1"/>
        <v>139266</v>
      </c>
      <c r="M10" s="29"/>
      <c r="N10" s="799"/>
      <c r="O10" s="30">
        <f t="shared" si="2"/>
        <v>9.4754845525913081E-2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139266</v>
      </c>
      <c r="X10" s="32">
        <f t="shared" si="9"/>
        <v>0</v>
      </c>
      <c r="Y10" s="14" t="s">
        <v>191</v>
      </c>
      <c r="Z10" s="58">
        <f>ROUND((Z9*Z30),0)</f>
        <v>489439</v>
      </c>
      <c r="AA10" s="59">
        <f>Z10*14.65/14.73</f>
        <v>486780.81126951799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121266</v>
      </c>
      <c r="M11" s="29"/>
      <c r="N11" s="799"/>
      <c r="O11" s="30">
        <f t="shared" si="2"/>
        <v>8.5279360973321769E-2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121266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117666</v>
      </c>
      <c r="M12" s="29"/>
      <c r="N12" s="799"/>
      <c r="O12" s="30">
        <f t="shared" si="2"/>
        <v>1.7055872194664354E-2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117666</v>
      </c>
      <c r="X12" s="32">
        <f t="shared" si="9"/>
        <v>0</v>
      </c>
      <c r="Y12" s="14" t="s">
        <v>64</v>
      </c>
      <c r="Z12" s="58"/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>
        <v>0</v>
      </c>
      <c r="J13" s="26"/>
      <c r="K13" s="27">
        <f t="shared" si="0"/>
        <v>6000</v>
      </c>
      <c r="L13" s="28">
        <f t="shared" si="1"/>
        <v>111666</v>
      </c>
      <c r="M13" s="29"/>
      <c r="N13" s="799"/>
      <c r="O13" s="30">
        <f t="shared" si="2"/>
        <v>2.8426453657773923E-2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111666</v>
      </c>
      <c r="X13" s="32">
        <f t="shared" si="9"/>
        <v>0</v>
      </c>
      <c r="Y13" s="14" t="s">
        <v>67</v>
      </c>
      <c r="Z13" s="67">
        <f>Z14/Z30</f>
        <v>490800.43824954471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17200</v>
      </c>
      <c r="I14" s="26">
        <v>0</v>
      </c>
      <c r="J14" s="26"/>
      <c r="K14" s="27">
        <f t="shared" si="0"/>
        <v>17200</v>
      </c>
      <c r="L14" s="28">
        <f t="shared" si="1"/>
        <v>94466</v>
      </c>
      <c r="M14" s="29"/>
      <c r="N14" s="799"/>
      <c r="O14" s="30">
        <f t="shared" si="2"/>
        <v>8.1489167152285255E-2</v>
      </c>
      <c r="P14" s="802"/>
      <c r="Q14" s="31">
        <f t="shared" si="3"/>
        <v>0</v>
      </c>
      <c r="R14" s="31">
        <v>0</v>
      </c>
      <c r="S14" s="28">
        <f t="shared" si="4"/>
        <v>17200</v>
      </c>
      <c r="T14" s="28">
        <f t="shared" si="5"/>
        <v>0</v>
      </c>
      <c r="U14" s="28">
        <f t="shared" si="6"/>
        <v>0</v>
      </c>
      <c r="V14" s="28">
        <f t="shared" si="7"/>
        <v>17200</v>
      </c>
      <c r="W14" s="31">
        <f t="shared" si="8"/>
        <v>94466</v>
      </c>
      <c r="X14" s="32">
        <f t="shared" si="9"/>
        <v>0</v>
      </c>
      <c r="Y14" s="14" t="s">
        <v>70</v>
      </c>
      <c r="Z14" s="67">
        <f>+Z10-(Z11+Z12)</f>
        <v>489439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13178</v>
      </c>
      <c r="I15" s="26"/>
      <c r="J15" s="26"/>
      <c r="K15" s="27">
        <f t="shared" si="0"/>
        <v>13178</v>
      </c>
      <c r="L15" s="28">
        <f t="shared" si="1"/>
        <v>81288</v>
      </c>
      <c r="M15" s="29"/>
      <c r="N15" s="799"/>
      <c r="O15" s="30">
        <f t="shared" si="2"/>
        <v>6.2433967717024128E-2</v>
      </c>
      <c r="P15" s="802"/>
      <c r="Q15" s="31">
        <f t="shared" si="3"/>
        <v>0</v>
      </c>
      <c r="R15" s="31">
        <v>0</v>
      </c>
      <c r="S15" s="28">
        <f t="shared" si="4"/>
        <v>13178</v>
      </c>
      <c r="T15" s="28">
        <f t="shared" si="5"/>
        <v>0</v>
      </c>
      <c r="U15" s="28">
        <f t="shared" si="6"/>
        <v>0</v>
      </c>
      <c r="V15" s="28">
        <f t="shared" si="7"/>
        <v>13178</v>
      </c>
      <c r="W15" s="31">
        <f t="shared" si="8"/>
        <v>81288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60788</v>
      </c>
      <c r="M16" s="29"/>
      <c r="N16" s="799"/>
      <c r="O16" s="30">
        <f t="shared" si="2"/>
        <v>9.7123716664060902E-2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60788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2692</v>
      </c>
      <c r="I17" s="518">
        <v>3000</v>
      </c>
      <c r="J17" s="26"/>
      <c r="K17" s="27">
        <f t="shared" si="0"/>
        <v>5692</v>
      </c>
      <c r="L17" s="28">
        <f t="shared" si="1"/>
        <v>55096</v>
      </c>
      <c r="M17" s="29"/>
      <c r="N17" s="799"/>
      <c r="O17" s="30">
        <f t="shared" si="2"/>
        <v>2.6967229036674863E-2</v>
      </c>
      <c r="P17" s="802"/>
      <c r="Q17" s="31">
        <f t="shared" si="3"/>
        <v>0</v>
      </c>
      <c r="R17" s="31">
        <v>0</v>
      </c>
      <c r="S17" s="28">
        <f t="shared" si="4"/>
        <v>2692</v>
      </c>
      <c r="T17" s="28">
        <f t="shared" si="5"/>
        <v>3000</v>
      </c>
      <c r="U17" s="28">
        <f t="shared" si="6"/>
        <v>0</v>
      </c>
      <c r="V17" s="28">
        <f t="shared" si="7"/>
        <v>5692</v>
      </c>
      <c r="W17" s="31">
        <f t="shared" si="8"/>
        <v>55096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308</v>
      </c>
      <c r="J18" s="26"/>
      <c r="K18" s="27">
        <f t="shared" si="0"/>
        <v>308</v>
      </c>
      <c r="L18" s="28">
        <f t="shared" si="1"/>
        <v>54788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308</v>
      </c>
      <c r="U18" s="28">
        <f t="shared" si="6"/>
        <v>0</v>
      </c>
      <c r="V18" s="28">
        <f t="shared" si="7"/>
        <v>308</v>
      </c>
      <c r="W18" s="31">
        <f t="shared" si="8"/>
        <v>54788</v>
      </c>
      <c r="X18" s="32"/>
      <c r="Y18" s="14" t="s">
        <v>77</v>
      </c>
      <c r="Z18" s="71">
        <f>ROUND(Z14*0.43,0)</f>
        <v>210459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/>
      <c r="I19" s="26"/>
      <c r="J19" s="26"/>
      <c r="K19" s="27">
        <f t="shared" si="0"/>
        <v>0</v>
      </c>
      <c r="L19" s="28">
        <f t="shared" si="1"/>
        <v>54788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54788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53288</v>
      </c>
      <c r="M20" s="29"/>
      <c r="N20" s="799"/>
      <c r="O20" s="30">
        <f t="shared" si="2"/>
        <v>7.1066134144434807E-3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53288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53288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53288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45788</v>
      </c>
      <c r="M22" s="29"/>
      <c r="N22" s="799"/>
      <c r="O22" s="30">
        <f t="shared" si="2"/>
        <v>3.5533067072217407E-2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45788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45788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45788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45788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45788</v>
      </c>
      <c r="X24" s="32">
        <f t="shared" si="9"/>
        <v>0</v>
      </c>
      <c r="Y24" s="74" t="s">
        <v>169</v>
      </c>
      <c r="Z24" s="680">
        <f>+Z18+Z19</f>
        <v>210459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33788</v>
      </c>
      <c r="M25" s="29"/>
      <c r="N25" s="799"/>
      <c r="O25" s="30">
        <f t="shared" si="2"/>
        <v>5.6852907315547846E-2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33788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-612</v>
      </c>
      <c r="M26" s="86"/>
      <c r="N26" s="800"/>
      <c r="O26" s="87">
        <f t="shared" si="2"/>
        <v>0.16297833430457051</v>
      </c>
      <c r="P26" s="803"/>
      <c r="Q26" s="144">
        <f t="shared" si="3"/>
        <v>0</v>
      </c>
      <c r="R26" s="144">
        <v>-23819</v>
      </c>
      <c r="S26" s="423">
        <f t="shared" si="4"/>
        <v>0</v>
      </c>
      <c r="T26" s="423">
        <f t="shared" si="5"/>
        <v>0</v>
      </c>
      <c r="U26" s="423">
        <f t="shared" si="6"/>
        <v>10581</v>
      </c>
      <c r="V26" s="423">
        <f t="shared" si="7"/>
        <v>10581</v>
      </c>
      <c r="W26" s="144">
        <f t="shared" si="8"/>
        <v>23207</v>
      </c>
      <c r="X26" s="32">
        <f t="shared" si="9"/>
        <v>23819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-612</v>
      </c>
      <c r="M27" s="95"/>
      <c r="N27" s="804">
        <f>SUM(K27:K49)</f>
        <v>21207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23207</v>
      </c>
      <c r="X27" s="32">
        <f t="shared" si="9"/>
        <v>23819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-612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23207</v>
      </c>
      <c r="X28" s="32">
        <f t="shared" si="9"/>
        <v>23819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-612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23207</v>
      </c>
      <c r="X29" s="32">
        <f t="shared" si="9"/>
        <v>23819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-612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23207</v>
      </c>
      <c r="X30" s="32">
        <f t="shared" si="9"/>
        <v>23819</v>
      </c>
      <c r="Y30" s="74" t="s">
        <v>89</v>
      </c>
      <c r="Z30" s="682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-612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23207</v>
      </c>
      <c r="X31" s="32">
        <f t="shared" si="9"/>
        <v>23819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-612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23207</v>
      </c>
      <c r="X32" s="32">
        <f t="shared" si="9"/>
        <v>23819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-612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23207</v>
      </c>
      <c r="X33" s="32">
        <f t="shared" si="9"/>
        <v>23819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-612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23207</v>
      </c>
      <c r="X34" s="32">
        <f t="shared" si="9"/>
        <v>23819</v>
      </c>
      <c r="Y34" s="806"/>
      <c r="Z34" s="112">
        <v>80000</v>
      </c>
      <c r="AA34" s="113">
        <f>AD5-Z34</f>
        <v>-29427</v>
      </c>
      <c r="AB34" s="113">
        <f>Z34+AA34</f>
        <v>50573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-612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23207</v>
      </c>
      <c r="X35" s="32">
        <f>W35-L35</f>
        <v>23819</v>
      </c>
      <c r="Y35" s="117" t="s">
        <v>56</v>
      </c>
      <c r="Z35" s="113">
        <f>Z34*43%</f>
        <v>34400</v>
      </c>
      <c r="AA35" s="113">
        <f>AD4-Z35</f>
        <v>-23819</v>
      </c>
      <c r="AB35" s="113">
        <f>Z35+AA35</f>
        <v>10581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-612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23207</v>
      </c>
      <c r="X36" s="32">
        <f t="shared" si="9"/>
        <v>23819</v>
      </c>
      <c r="Y36" s="117" t="s">
        <v>60</v>
      </c>
      <c r="Z36" s="113">
        <f>Z34*57%</f>
        <v>45599.999999999993</v>
      </c>
      <c r="AA36" s="113">
        <f>AD3-Z36</f>
        <v>-5607.9999999999927</v>
      </c>
      <c r="AB36" s="113">
        <f>Z36+AA36</f>
        <v>39992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-612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23207</v>
      </c>
      <c r="X37" s="32">
        <f t="shared" si="9"/>
        <v>23819</v>
      </c>
      <c r="Y37" s="117" t="s">
        <v>94</v>
      </c>
      <c r="Z37" s="113">
        <f>+Z35+Z36</f>
        <v>80000</v>
      </c>
      <c r="AA37" s="113">
        <f>SUM(AA35:AA36)</f>
        <v>-29426.999999999993</v>
      </c>
      <c r="AB37" s="113">
        <f>Z37+AA37</f>
        <v>50573.000000000007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26"/>
      <c r="J38" s="26"/>
      <c r="K38" s="27">
        <f t="shared" si="0"/>
        <v>11207</v>
      </c>
      <c r="L38" s="28">
        <f>+L37-K38</f>
        <v>-11819</v>
      </c>
      <c r="M38" s="29"/>
      <c r="N38" s="799"/>
      <c r="O38" s="30">
        <f t="shared" si="10"/>
        <v>0.52845758475974913</v>
      </c>
      <c r="P38" s="802"/>
      <c r="Q38" s="31">
        <f t="shared" si="11"/>
        <v>0</v>
      </c>
      <c r="R38" s="31"/>
      <c r="S38" s="28">
        <f t="shared" si="4"/>
        <v>11207</v>
      </c>
      <c r="T38" s="28">
        <f t="shared" si="5"/>
        <v>0</v>
      </c>
      <c r="U38" s="28">
        <f t="shared" si="6"/>
        <v>0</v>
      </c>
      <c r="V38" s="28">
        <f t="shared" si="7"/>
        <v>11207</v>
      </c>
      <c r="W38" s="31">
        <f t="shared" si="8"/>
        <v>12000</v>
      </c>
      <c r="X38" s="32">
        <f t="shared" si="9"/>
        <v>23819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-11819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12000</v>
      </c>
      <c r="X39" s="32">
        <f t="shared" si="9"/>
        <v>23819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-11819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12000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-11819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12000</v>
      </c>
      <c r="X41" s="32">
        <f t="shared" si="9"/>
        <v>23819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-11819</v>
      </c>
      <c r="M42" s="29"/>
      <c r="N42" s="799"/>
      <c r="O42" s="30">
        <f t="shared" si="10"/>
        <v>0</v>
      </c>
      <c r="P42" s="802"/>
      <c r="Q42" s="31">
        <f t="shared" si="11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8"/>
        <v>12000</v>
      </c>
      <c r="X42" s="32">
        <f t="shared" si="9"/>
        <v>23819</v>
      </c>
      <c r="Y42" s="74" t="s">
        <v>96</v>
      </c>
      <c r="Z42" s="75">
        <v>35500</v>
      </c>
      <c r="AA42" s="129">
        <f>+H7+H8+H17+H18+H19+H22+H32+H33+H43+H44+H45+H53</f>
        <v>28868</v>
      </c>
      <c r="AB42" s="129">
        <f>+I7+I8+I17+I18+I19+I22+I32+I33+I43+I44+I45+I53</f>
        <v>7132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-11819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12000</v>
      </c>
      <c r="X43" s="32">
        <f t="shared" si="9"/>
        <v>23819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-11819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12000</v>
      </c>
      <c r="X44" s="32">
        <f t="shared" si="9"/>
        <v>23819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-11819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12000</v>
      </c>
      <c r="X45" s="32">
        <f t="shared" si="9"/>
        <v>23819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-21819</v>
      </c>
      <c r="M46" s="29"/>
      <c r="N46" s="799"/>
      <c r="O46" s="30">
        <f t="shared" si="10"/>
        <v>0.47154241524025087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2000</v>
      </c>
      <c r="X46" s="32">
        <f t="shared" si="9"/>
        <v>23819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-21819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2000</v>
      </c>
      <c r="X47" s="32">
        <f t="shared" si="9"/>
        <v>23819</v>
      </c>
      <c r="Y47" s="57">
        <v>20000</v>
      </c>
      <c r="Z47" s="89">
        <v>4586</v>
      </c>
      <c r="AA47" s="35"/>
      <c r="AB47" s="57">
        <f>57000-AA60</f>
        <v>17008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-21819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2000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-21819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2000</v>
      </c>
      <c r="X49" s="32">
        <f t="shared" si="9"/>
        <v>23819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-21819</v>
      </c>
      <c r="M50" s="95"/>
      <c r="N50" s="804">
        <f>SUM(K50:K55)</f>
        <v>2000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2000</v>
      </c>
      <c r="X50" s="32">
        <f t="shared" si="9"/>
        <v>23819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26"/>
      <c r="J51" s="611"/>
      <c r="K51" s="27">
        <f t="shared" si="0"/>
        <v>0</v>
      </c>
      <c r="L51" s="28">
        <f t="shared" si="1"/>
        <v>-21819</v>
      </c>
      <c r="M51" s="234"/>
      <c r="N51" s="799"/>
      <c r="O51" s="184"/>
      <c r="P51" s="802"/>
      <c r="Q51" s="138">
        <f t="shared" si="11"/>
        <v>0</v>
      </c>
      <c r="R51" s="31">
        <f>K51*$P$50/SUM($K$50:$K$55)-K51</f>
        <v>0</v>
      </c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2000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-21819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2000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26"/>
      <c r="J53" s="26"/>
      <c r="K53" s="27">
        <f t="shared" si="0"/>
        <v>2000</v>
      </c>
      <c r="L53" s="28">
        <f>+L52-K53</f>
        <v>-23819</v>
      </c>
      <c r="M53" s="29"/>
      <c r="N53" s="799"/>
      <c r="O53" s="30">
        <f t="shared" si="10"/>
        <v>9.4308483048050173E-2</v>
      </c>
      <c r="P53" s="802"/>
      <c r="Q53" s="97">
        <f t="shared" si="11"/>
        <v>0</v>
      </c>
      <c r="R53" s="31">
        <v>0</v>
      </c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8"/>
        <v>0</v>
      </c>
      <c r="X53" s="32">
        <f t="shared" si="9"/>
        <v>23819</v>
      </c>
      <c r="Y53" s="80">
        <f>+Y52-15000</f>
        <v>-2513.5</v>
      </c>
      <c r="Z53" s="49">
        <f>+Z60-43000</f>
        <v>-32419</v>
      </c>
      <c r="AD53" s="322"/>
      <c r="AE53" s="153"/>
      <c r="AH53" s="19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-23819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0</v>
      </c>
      <c r="X54" s="32">
        <f t="shared" si="9"/>
        <v>23819</v>
      </c>
      <c r="Y54" s="158"/>
      <c r="Z54" s="159"/>
      <c r="AA54" s="160"/>
      <c r="AB54" s="158"/>
      <c r="AC54" s="160"/>
      <c r="AD54" s="161"/>
      <c r="AE54" s="153"/>
      <c r="AH54" s="53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>
        <v>0</v>
      </c>
      <c r="J55" s="143"/>
      <c r="K55" s="27">
        <f t="shared" si="0"/>
        <v>0</v>
      </c>
      <c r="L55" s="423">
        <f t="shared" si="1"/>
        <v>-23819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>
        <v>0</v>
      </c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0</v>
      </c>
      <c r="X55" s="119">
        <f t="shared" si="9"/>
        <v>23819</v>
      </c>
      <c r="Y55" s="807">
        <f>Z8</f>
        <v>41927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-23819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23819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-23819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 t="s">
        <v>315</v>
      </c>
      <c r="AF57" s="513" t="s">
        <v>316</v>
      </c>
      <c r="AG57" s="513"/>
      <c r="AH57" s="514"/>
      <c r="AI57" s="514"/>
      <c r="AK57" s="17">
        <f>+AE60</f>
        <v>57074.240575061231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-23819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22415</v>
      </c>
      <c r="AA58" s="182">
        <f>+AB3</f>
        <v>66610</v>
      </c>
      <c r="AB58" s="182">
        <f>Z12</f>
        <v>0</v>
      </c>
      <c r="AC58" s="181">
        <f>AB10</f>
        <v>0</v>
      </c>
      <c r="AD58" s="661">
        <f>SUM(Z58:AC58)</f>
        <v>89025</v>
      </c>
      <c r="AE58" s="185">
        <v>80758</v>
      </c>
      <c r="AF58" s="17">
        <f>+AE58-AD58</f>
        <v>-8267</v>
      </c>
      <c r="AG58" s="20">
        <v>9.3000000000000007</v>
      </c>
      <c r="AI58" s="20">
        <v>10581</v>
      </c>
      <c r="AJ58" s="20">
        <f>+AI58/$AI$60</f>
        <v>0.20922231230103019</v>
      </c>
      <c r="AK58" s="17">
        <f>+$AK$57*AJ58</f>
        <v>11941.204585939589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-23819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177463</v>
      </c>
      <c r="AA59" s="182">
        <f>AC3</f>
        <v>172326</v>
      </c>
      <c r="AB59" s="182">
        <f>Z11</f>
        <v>0</v>
      </c>
      <c r="AC59" s="181">
        <v>0</v>
      </c>
      <c r="AD59" s="661">
        <f>SUM(Z59:AC59)</f>
        <v>349789</v>
      </c>
      <c r="AE59" s="185">
        <f>337000+15900</f>
        <v>352900</v>
      </c>
      <c r="AF59" s="17">
        <f>+AE59-AD59</f>
        <v>3111</v>
      </c>
      <c r="AG59" s="51"/>
      <c r="AH59" s="51"/>
      <c r="AI59" s="20">
        <v>39992</v>
      </c>
      <c r="AJ59" s="20">
        <f>+AI59/$AI$60</f>
        <v>0.79077768769896983</v>
      </c>
      <c r="AK59" s="17">
        <f>+$AK$57*AJ59</f>
        <v>45133.035989121643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-23819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10581</v>
      </c>
      <c r="AA60" s="182">
        <f>+AD3+AH10</f>
        <v>39992</v>
      </c>
      <c r="AB60" s="191">
        <v>0</v>
      </c>
      <c r="AC60" s="181">
        <v>0</v>
      </c>
      <c r="AD60" s="662">
        <f>SUM(Z60:AC60)</f>
        <v>50573</v>
      </c>
      <c r="AE60" s="185">
        <f>+AE61*Z30</f>
        <v>57074.240575061231</v>
      </c>
      <c r="AF60" s="17">
        <f>+AE60-AD60</f>
        <v>6501.2405750612306</v>
      </c>
      <c r="AG60" s="20"/>
      <c r="AH60" s="50"/>
      <c r="AI60" s="20">
        <f>SUM(AI58:AI59)</f>
        <v>50573</v>
      </c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-23819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210459</v>
      </c>
      <c r="AA61" s="194">
        <f>SUM(AA58:AA60)</f>
        <v>278928</v>
      </c>
      <c r="AB61" s="194">
        <f>SUM(AB58:AB60)</f>
        <v>0</v>
      </c>
      <c r="AC61" s="194">
        <f>AB10</f>
        <v>0</v>
      </c>
      <c r="AD61" s="195">
        <f>SUM(AD58:AD60)</f>
        <v>489387</v>
      </c>
      <c r="AE61" s="185">
        <v>57233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-23819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211045.20326572281</v>
      </c>
      <c r="AA62" s="200">
        <f>(AA58/$Z$28+(AA59/$Z$27)+(AA60/$Z$29))</f>
        <v>279701.12173484411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490746.32500056695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-23819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313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-23819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314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-23819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153665.56947000005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-23819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24480.866520000003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-23819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-23819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489438.56296612188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-23819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-23819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-23819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-23819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41927</v>
      </c>
      <c r="AA72" s="818" t="s">
        <v>118</v>
      </c>
      <c r="AB72" s="818"/>
      <c r="AC72" s="818"/>
      <c r="AD72" s="216"/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-23819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0</v>
      </c>
      <c r="AA73" s="697" t="s">
        <v>120</v>
      </c>
      <c r="AB73" s="697"/>
      <c r="AC73" s="697"/>
      <c r="AD73" s="219">
        <f>24-AD72</f>
        <v>24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-23819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696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-23819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696" t="s">
        <v>121</v>
      </c>
      <c r="Z75" s="696" t="s">
        <v>122</v>
      </c>
      <c r="AA75" s="696" t="s">
        <v>123</v>
      </c>
      <c r="AB75" s="820" t="s">
        <v>124</v>
      </c>
      <c r="AC75" s="821"/>
      <c r="AD75" s="822"/>
      <c r="AE75" s="696" t="s">
        <v>125</v>
      </c>
      <c r="AF75" s="696" t="s">
        <v>126</v>
      </c>
      <c r="AG75" s="149"/>
      <c r="AH75" s="696" t="s">
        <v>121</v>
      </c>
      <c r="AI75" s="696"/>
      <c r="AJ75" s="214" t="s">
        <v>7</v>
      </c>
      <c r="AK75" s="236">
        <f>((+AD78-AA78)/$AD$73)*24</f>
        <v>89025</v>
      </c>
      <c r="AL75" s="236">
        <f>AK75</f>
        <v>89025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-23819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696"/>
      <c r="Z76" s="696"/>
      <c r="AA76" s="696"/>
      <c r="AB76" s="696"/>
      <c r="AC76" s="696"/>
      <c r="AD76" s="696"/>
      <c r="AE76" s="696"/>
      <c r="AF76" s="696"/>
      <c r="AG76" s="149"/>
      <c r="AH76" s="696"/>
      <c r="AI76" s="696"/>
      <c r="AJ76" s="214" t="s">
        <v>6</v>
      </c>
      <c r="AK76" s="236">
        <f>((+AD79-AA79)/$AD$73)*24</f>
        <v>349789</v>
      </c>
      <c r="AL76" s="236">
        <f>+AK76</f>
        <v>349789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-23819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696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696"/>
      <c r="AI77" s="78"/>
      <c r="AJ77" s="214" t="s">
        <v>8</v>
      </c>
      <c r="AK77" s="236">
        <f>((+AD80-AA80)/$AD$73)*24</f>
        <v>50573</v>
      </c>
      <c r="AL77" s="236">
        <f>AK77</f>
        <v>50573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-23819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/>
      <c r="AA78" s="225"/>
      <c r="AB78" s="226">
        <f t="shared" ref="AB78:AC80" si="23">+Z58</f>
        <v>22415</v>
      </c>
      <c r="AC78" s="226">
        <f t="shared" si="23"/>
        <v>66610</v>
      </c>
      <c r="AD78" s="226">
        <f>+AB78+AC78+AB58+AC58</f>
        <v>89025</v>
      </c>
      <c r="AE78" s="519">
        <f>+((AD58/24)*$AD$73)+AA78</f>
        <v>89025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489387</v>
      </c>
      <c r="AL78" s="231">
        <f>+SUM(AL75:AL77)</f>
        <v>489387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-23819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/>
      <c r="AA79" s="225"/>
      <c r="AB79" s="226">
        <f t="shared" si="23"/>
        <v>177463</v>
      </c>
      <c r="AC79" s="226">
        <f t="shared" si="23"/>
        <v>172326</v>
      </c>
      <c r="AD79" s="226">
        <f>+AB79+AC79+AB59</f>
        <v>349789</v>
      </c>
      <c r="AE79" s="519">
        <f>+((AD59/24)*$AD$73)+AA79</f>
        <v>349789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f>Z10</f>
        <v>489439</v>
      </c>
      <c r="AL79" s="481">
        <f>AK79-AK78</f>
        <v>52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-23819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/>
      <c r="AA80" s="225"/>
      <c r="AB80" s="226">
        <f t="shared" si="23"/>
        <v>10581</v>
      </c>
      <c r="AC80" s="226">
        <f t="shared" si="23"/>
        <v>39992</v>
      </c>
      <c r="AD80" s="226">
        <f>+AB80+AC80</f>
        <v>50573</v>
      </c>
      <c r="AE80" s="519">
        <f>+((AD60/24)*$AD$73)+AA80</f>
        <v>50573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-23819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0</v>
      </c>
      <c r="AA81" s="230">
        <f t="shared" si="24"/>
        <v>0</v>
      </c>
      <c r="AB81" s="229">
        <f t="shared" si="24"/>
        <v>210459</v>
      </c>
      <c r="AC81" s="229">
        <f t="shared" si="24"/>
        <v>278928</v>
      </c>
      <c r="AD81" s="229">
        <f t="shared" si="24"/>
        <v>489387</v>
      </c>
      <c r="AE81" s="229">
        <f t="shared" si="24"/>
        <v>489387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-23819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-23819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-23819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-23819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-23819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-23819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-23819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-23819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-23819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-23819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-23819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699">
        <f>(SUMIF($D$2:$D$57,"domiciliario",$I$2:$I$103))/1000</f>
        <v>19.106999999999999</v>
      </c>
      <c r="AB92" s="700">
        <f>(SUMIF($D$2:$D$57,"domiciliario",$T$2:$T$103))/1000</f>
        <v>19.106999999999999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-23819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-23819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701">
        <f>(SUMIF($D$2:$D$57,"gnv",$I$2:$I$103))/1000</f>
        <v>0.308</v>
      </c>
      <c r="AB94" s="702">
        <f>(SUMIF($D$2:$D$57,"gnv",$T$2:$T$103))/1000</f>
        <v>0.308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-23819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3</v>
      </c>
      <c r="AB95" s="702">
        <f>(SUMIF($D$2:$D$57,"termico",$T$2:$T$103)+SUMIF($D$2:$D$57,"electrico",$T$2:$T$103)+SUMIF($D$2:$D$57,"térmico",$T$2:$T$103))/1000</f>
        <v>3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-23819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-23819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705">
        <f>(SUMIF($D$2:$D$57,"domiciliario",$H$2:$H$103))/1000</f>
        <v>32.085999999999999</v>
      </c>
      <c r="AB97" s="706">
        <f>(SUMIF($D$2:$D$57,"domiciliario",$S$2:$S$103))/1000</f>
        <v>32.085999999999999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-23819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707">
        <f>(SUMIF($D$2:$D$57,"industrial",$H$2:$H$103))/1000</f>
        <v>34</v>
      </c>
      <c r="AB98" s="708">
        <f>(SUMIF($D$2:$D$57,"industrial",$S$2:$S$103))/1000</f>
        <v>34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-23819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-23819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111.377</v>
      </c>
      <c r="AB100" s="708">
        <f>(SUMIF($D$2:$D$57,"termico",$S$2:$S$103)+SUMIF($D$2:$D$57,"electrico",$S$2:$S$103)+SUMIF($D$2:$D$57,"térmico",$S$2:$S$103))/1000</f>
        <v>111.377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-23819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-23819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10.581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-23819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177463</v>
      </c>
      <c r="I105" s="252">
        <f>+SUM(I2:I103)</f>
        <v>22415</v>
      </c>
      <c r="J105" s="252">
        <f>+SUM(J2:J103)</f>
        <v>34400</v>
      </c>
      <c r="K105" s="252">
        <f>SUM(K2:K103)</f>
        <v>234278</v>
      </c>
      <c r="L105" s="253">
        <f>+L103</f>
        <v>-23819</v>
      </c>
      <c r="M105" s="252">
        <f>SUM(M2:M103)</f>
        <v>0</v>
      </c>
      <c r="N105" s="252">
        <f>SUM(N2:N103)</f>
        <v>234278</v>
      </c>
      <c r="O105" s="252"/>
      <c r="P105" s="252">
        <f>SUM(P2:P103)</f>
        <v>0</v>
      </c>
      <c r="Q105" s="252">
        <f>SUM(Q2:Q103)</f>
        <v>0</v>
      </c>
      <c r="R105" s="252">
        <f>SUM(R2:R103)</f>
        <v>-23819</v>
      </c>
      <c r="S105" s="252">
        <f>SUM(S2:S103)</f>
        <v>177463</v>
      </c>
      <c r="T105" s="252">
        <f>+SUM(T2:T103)</f>
        <v>22415</v>
      </c>
      <c r="U105" s="252">
        <f>SUM(U2:U103)</f>
        <v>10581</v>
      </c>
      <c r="V105" s="252">
        <f>SUM(V2:V103)</f>
        <v>210459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213778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6446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04" priority="3" operator="lessThan">
      <formula>$AA$78</formula>
    </cfRule>
    <cfRule type="cellIs" dxfId="103" priority="5" operator="greaterThan">
      <formula>$AE$78</formula>
    </cfRule>
  </conditionalFormatting>
  <conditionalFormatting sqref="AA79">
    <cfRule type="cellIs" dxfId="102" priority="4" operator="greaterThan">
      <formula>$AE$79</formula>
    </cfRule>
  </conditionalFormatting>
  <conditionalFormatting sqref="AA80">
    <cfRule type="cellIs" dxfId="101" priority="2" operator="greaterThan">
      <formula>$AE$79</formula>
    </cfRule>
  </conditionalFormatting>
  <conditionalFormatting sqref="AU4:AU23">
    <cfRule type="cellIs" dxfId="10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50"/>
  </sheetPr>
  <dimension ref="A1:AX186"/>
  <sheetViews>
    <sheetView topLeftCell="S1" zoomScale="90" zoomScaleNormal="90" workbookViewId="0">
      <selection activeCell="AG24" sqref="AG24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216016</v>
      </c>
      <c r="M2" s="29"/>
      <c r="N2" s="798">
        <f>SUM(K2:K26)</f>
        <v>226300</v>
      </c>
      <c r="O2" s="30">
        <f>+K2/$N$2</f>
        <v>1.3256738842244807E-2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216016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15" t="s">
        <v>31</v>
      </c>
      <c r="AE2" s="715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214916</v>
      </c>
      <c r="M3" s="29"/>
      <c r="N3" s="799"/>
      <c r="O3" s="30">
        <f t="shared" ref="O3:O29" si="2">+K3/$N$2</f>
        <v>4.8608042421564293E-3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214916</v>
      </c>
      <c r="X3" s="32">
        <f t="shared" ref="X3:X56" si="9">W3-L3</f>
        <v>0</v>
      </c>
      <c r="Y3" s="37" t="s">
        <v>34</v>
      </c>
      <c r="Z3" s="38">
        <f>ROUND((Z13*57%),0)</f>
        <v>291131</v>
      </c>
      <c r="AA3" s="39">
        <f>ROUND((+Z14*0.57),0)</f>
        <v>290323</v>
      </c>
      <c r="AB3" s="454">
        <v>60394</v>
      </c>
      <c r="AC3" s="455">
        <v>189904</v>
      </c>
      <c r="AD3" s="40">
        <f>40480-455</f>
        <v>40025</v>
      </c>
      <c r="AE3" s="41">
        <f>SUM(AB3:AD3)</f>
        <v>290323</v>
      </c>
      <c r="AF3" s="41">
        <f>AA3-AE3</f>
        <v>0</v>
      </c>
      <c r="AG3" s="641">
        <f>AA3-AB3-AC3-AD3</f>
        <v>0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192516</v>
      </c>
      <c r="M4" s="29"/>
      <c r="N4" s="799"/>
      <c r="O4" s="30">
        <f t="shared" si="2"/>
        <v>9.8983650022094569E-2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192516</v>
      </c>
      <c r="X4" s="32">
        <f t="shared" si="9"/>
        <v>0</v>
      </c>
      <c r="Y4" s="37" t="s">
        <v>38</v>
      </c>
      <c r="Z4" s="38">
        <f>ROUND((Z13*43%),0)</f>
        <v>219625</v>
      </c>
      <c r="AA4" s="39">
        <f>ROUND((+Z14*0.43),0)</f>
        <v>219016</v>
      </c>
      <c r="AB4" s="43">
        <f>T105</f>
        <v>47006</v>
      </c>
      <c r="AC4" s="43">
        <f>S105</f>
        <v>171894</v>
      </c>
      <c r="AD4" s="40">
        <f>U105</f>
        <v>116</v>
      </c>
      <c r="AE4" s="41">
        <f>SUM(AB4:AD4)</f>
        <v>219016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191316</v>
      </c>
      <c r="M5" s="29"/>
      <c r="N5" s="799"/>
      <c r="O5" s="30">
        <f t="shared" si="2"/>
        <v>5.3026955368979233E-3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191316</v>
      </c>
      <c r="X5" s="32">
        <f t="shared" si="9"/>
        <v>0</v>
      </c>
      <c r="Y5" s="44" t="s">
        <v>41</v>
      </c>
      <c r="Z5" s="38">
        <f>SUM(Z3:Z4)</f>
        <v>510756</v>
      </c>
      <c r="AA5" s="45">
        <f>SUM(AA3:AA4)</f>
        <v>509339</v>
      </c>
      <c r="AB5" s="46">
        <f>SUM(AB3:AB4)</f>
        <v>107400</v>
      </c>
      <c r="AC5" s="41">
        <f>SUM(AC3:AC4)</f>
        <v>361798</v>
      </c>
      <c r="AD5" s="40">
        <f>SUM(AD3:AD4)</f>
        <v>40141</v>
      </c>
      <c r="AE5" s="41">
        <f>SUM(AB5:AD5)</f>
        <v>509339</v>
      </c>
      <c r="AF5" s="47">
        <f>SUM(AF3:AF4)</f>
        <v>0</v>
      </c>
      <c r="AG5" s="642">
        <f>SUM(AG3:AG4)</f>
        <v>0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179316</v>
      </c>
      <c r="M6" s="29"/>
      <c r="N6" s="799"/>
      <c r="O6" s="30">
        <f t="shared" si="2"/>
        <v>5.302695536897923E-2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179316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12036+1796</f>
        <v>13832</v>
      </c>
      <c r="I7" s="518">
        <f>2764+800+604</f>
        <v>4168</v>
      </c>
      <c r="J7" s="26"/>
      <c r="K7" s="27">
        <f t="shared" si="0"/>
        <v>18000</v>
      </c>
      <c r="L7" s="28">
        <f t="shared" si="1"/>
        <v>161316</v>
      </c>
      <c r="M7" s="29"/>
      <c r="N7" s="799"/>
      <c r="O7" s="30">
        <f t="shared" si="2"/>
        <v>7.9540433053468848E-2</v>
      </c>
      <c r="P7" s="802"/>
      <c r="Q7" s="31">
        <f t="shared" si="3"/>
        <v>0</v>
      </c>
      <c r="R7" s="31"/>
      <c r="S7" s="28">
        <f t="shared" si="4"/>
        <v>13832</v>
      </c>
      <c r="T7" s="28">
        <f t="shared" si="5"/>
        <v>4168</v>
      </c>
      <c r="U7" s="28">
        <f t="shared" si="6"/>
        <v>0</v>
      </c>
      <c r="V7" s="28">
        <f t="shared" si="7"/>
        <v>18000</v>
      </c>
      <c r="W7" s="31">
        <f t="shared" si="8"/>
        <v>161316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-5575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158816</v>
      </c>
      <c r="M8" s="29"/>
      <c r="N8" s="799"/>
      <c r="O8" s="30">
        <f t="shared" si="2"/>
        <v>1.104728236853734E-2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158816</v>
      </c>
      <c r="X8" s="32">
        <f t="shared" si="9"/>
        <v>0</v>
      </c>
      <c r="Y8" s="14" t="s">
        <v>47</v>
      </c>
      <c r="Z8" s="54">
        <v>41928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520</v>
      </c>
      <c r="I9" s="518">
        <v>1680</v>
      </c>
      <c r="J9" s="26"/>
      <c r="K9" s="27">
        <f t="shared" si="0"/>
        <v>2200</v>
      </c>
      <c r="L9" s="28">
        <f t="shared" si="1"/>
        <v>156616</v>
      </c>
      <c r="M9" s="29"/>
      <c r="N9" s="799"/>
      <c r="O9" s="30">
        <f t="shared" si="2"/>
        <v>9.7216084843128586E-3</v>
      </c>
      <c r="P9" s="802"/>
      <c r="Q9" s="31">
        <f t="shared" si="3"/>
        <v>0</v>
      </c>
      <c r="R9" s="31"/>
      <c r="S9" s="28">
        <f t="shared" si="4"/>
        <v>520</v>
      </c>
      <c r="T9" s="28">
        <f t="shared" si="5"/>
        <v>1680</v>
      </c>
      <c r="U9" s="28">
        <f t="shared" si="6"/>
        <v>0</v>
      </c>
      <c r="V9" s="28">
        <f t="shared" si="7"/>
        <v>2200</v>
      </c>
      <c r="W9" s="31">
        <f t="shared" si="8"/>
        <v>156616</v>
      </c>
      <c r="X9" s="32">
        <f t="shared" si="9"/>
        <v>0</v>
      </c>
      <c r="Y9" s="14" t="s">
        <v>189</v>
      </c>
      <c r="Z9" s="58">
        <v>490700</v>
      </c>
      <c r="AA9" s="59">
        <f>Z9*14.65/14.73</f>
        <v>488034.96266123554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26">
        <v>0</v>
      </c>
      <c r="J10" s="26"/>
      <c r="K10" s="27">
        <f t="shared" si="0"/>
        <v>20000</v>
      </c>
      <c r="L10" s="28">
        <f t="shared" si="1"/>
        <v>136616</v>
      </c>
      <c r="M10" s="29"/>
      <c r="N10" s="799"/>
      <c r="O10" s="30">
        <f t="shared" si="2"/>
        <v>8.8378258948298719E-2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136616</v>
      </c>
      <c r="X10" s="32">
        <f t="shared" si="9"/>
        <v>0</v>
      </c>
      <c r="Y10" s="14" t="s">
        <v>191</v>
      </c>
      <c r="Z10" s="58">
        <f>ROUND((Z9*Z30),0)</f>
        <v>489339</v>
      </c>
      <c r="AA10" s="59">
        <f>Z10*14.65/14.73</f>
        <v>486681.35437881877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118616</v>
      </c>
      <c r="M11" s="29"/>
      <c r="N11" s="799"/>
      <c r="O11" s="30">
        <f t="shared" si="2"/>
        <v>7.9540433053468848E-2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118616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115016</v>
      </c>
      <c r="M12" s="29"/>
      <c r="N12" s="799"/>
      <c r="O12" s="30">
        <f t="shared" si="2"/>
        <v>1.5908086610693768E-2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115016</v>
      </c>
      <c r="X12" s="32">
        <f t="shared" si="9"/>
        <v>0</v>
      </c>
      <c r="Y12" s="14" t="s">
        <v>64</v>
      </c>
      <c r="Z12" s="58">
        <v>-20000</v>
      </c>
      <c r="AA12" s="59">
        <f>ROUND(Z12/Z28,0)*14.65/14.73</f>
        <v>-19943.095723014256</v>
      </c>
      <c r="AB12" s="57">
        <f>Z12*57%</f>
        <v>-11399.999999999998</v>
      </c>
      <c r="AC12" s="65">
        <f>Z12*43%</f>
        <v>-8600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>
        <v>0</v>
      </c>
      <c r="J13" s="26"/>
      <c r="K13" s="27">
        <f t="shared" si="0"/>
        <v>6000</v>
      </c>
      <c r="L13" s="28">
        <f t="shared" si="1"/>
        <v>109016</v>
      </c>
      <c r="M13" s="29"/>
      <c r="N13" s="799"/>
      <c r="O13" s="30">
        <f t="shared" si="2"/>
        <v>2.6513477684489615E-2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109016</v>
      </c>
      <c r="X13" s="32">
        <f t="shared" si="9"/>
        <v>0</v>
      </c>
      <c r="Y13" s="14" t="s">
        <v>67</v>
      </c>
      <c r="Z13" s="67">
        <f>Z14/Z30</f>
        <v>510755.79268833267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17200</v>
      </c>
      <c r="I14" s="26">
        <v>0</v>
      </c>
      <c r="J14" s="26"/>
      <c r="K14" s="27">
        <f t="shared" si="0"/>
        <v>17200</v>
      </c>
      <c r="L14" s="28">
        <f t="shared" si="1"/>
        <v>91816</v>
      </c>
      <c r="M14" s="29"/>
      <c r="N14" s="799"/>
      <c r="O14" s="30">
        <f t="shared" si="2"/>
        <v>7.6005302695536903E-2</v>
      </c>
      <c r="P14" s="802"/>
      <c r="Q14" s="31">
        <f t="shared" si="3"/>
        <v>0</v>
      </c>
      <c r="R14" s="31">
        <v>0</v>
      </c>
      <c r="S14" s="28">
        <f t="shared" si="4"/>
        <v>17200</v>
      </c>
      <c r="T14" s="28">
        <f t="shared" si="5"/>
        <v>0</v>
      </c>
      <c r="U14" s="28">
        <f t="shared" si="6"/>
        <v>0</v>
      </c>
      <c r="V14" s="28">
        <f t="shared" si="7"/>
        <v>17200</v>
      </c>
      <c r="W14" s="31">
        <f t="shared" si="8"/>
        <v>91816</v>
      </c>
      <c r="X14" s="32">
        <f t="shared" si="9"/>
        <v>0</v>
      </c>
      <c r="Y14" s="14" t="s">
        <v>70</v>
      </c>
      <c r="Z14" s="67">
        <f>+Z10-(Z11+Z12)</f>
        <v>509339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74616</v>
      </c>
      <c r="M15" s="29"/>
      <c r="N15" s="799"/>
      <c r="O15" s="30">
        <f t="shared" si="2"/>
        <v>7.6005302695536903E-2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74616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54116</v>
      </c>
      <c r="M16" s="29"/>
      <c r="N16" s="799"/>
      <c r="O16" s="30">
        <f t="shared" si="2"/>
        <v>9.0587715422006193E-2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54116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3500</v>
      </c>
      <c r="I17" s="518">
        <v>1136</v>
      </c>
      <c r="J17" s="26"/>
      <c r="K17" s="27">
        <f t="shared" si="0"/>
        <v>4636</v>
      </c>
      <c r="L17" s="28">
        <f t="shared" si="1"/>
        <v>49480</v>
      </c>
      <c r="M17" s="29"/>
      <c r="N17" s="799"/>
      <c r="O17" s="30">
        <f t="shared" si="2"/>
        <v>2.0486080424215642E-2</v>
      </c>
      <c r="P17" s="802"/>
      <c r="Q17" s="31">
        <f t="shared" si="3"/>
        <v>0</v>
      </c>
      <c r="R17" s="31">
        <v>0</v>
      </c>
      <c r="S17" s="28">
        <f t="shared" si="4"/>
        <v>3500</v>
      </c>
      <c r="T17" s="28">
        <f t="shared" si="5"/>
        <v>1136</v>
      </c>
      <c r="U17" s="28">
        <f t="shared" si="6"/>
        <v>0</v>
      </c>
      <c r="V17" s="28">
        <f t="shared" si="7"/>
        <v>4636</v>
      </c>
      <c r="W17" s="31">
        <f t="shared" si="8"/>
        <v>49480</v>
      </c>
      <c r="X17" s="32">
        <f t="shared" si="9"/>
        <v>0</v>
      </c>
      <c r="AA17" s="35"/>
      <c r="AB17" s="790">
        <f>+Z61-Z24-((Z12+Z11)*0.43)</f>
        <v>8600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322</v>
      </c>
      <c r="J18" s="26"/>
      <c r="K18" s="27">
        <f t="shared" si="0"/>
        <v>322</v>
      </c>
      <c r="L18" s="28">
        <f t="shared" si="1"/>
        <v>49158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322</v>
      </c>
      <c r="U18" s="28">
        <f t="shared" si="6"/>
        <v>0</v>
      </c>
      <c r="V18" s="28">
        <f t="shared" si="7"/>
        <v>322</v>
      </c>
      <c r="W18" s="31">
        <f t="shared" si="8"/>
        <v>49158</v>
      </c>
      <c r="X18" s="32"/>
      <c r="Y18" s="14" t="s">
        <v>77</v>
      </c>
      <c r="Z18" s="71">
        <f>ROUND(Z14*0.43,0)</f>
        <v>219016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1042</v>
      </c>
      <c r="I19" s="26"/>
      <c r="J19" s="26"/>
      <c r="K19" s="27">
        <f t="shared" si="0"/>
        <v>1042</v>
      </c>
      <c r="L19" s="28">
        <f t="shared" si="1"/>
        <v>48116</v>
      </c>
      <c r="M19" s="29"/>
      <c r="N19" s="799"/>
      <c r="O19" s="30">
        <f t="shared" si="2"/>
        <v>4.6045072912063636E-3</v>
      </c>
      <c r="P19" s="802"/>
      <c r="Q19" s="31">
        <f t="shared" si="3"/>
        <v>0</v>
      </c>
      <c r="R19" s="31">
        <v>0</v>
      </c>
      <c r="S19" s="28">
        <f t="shared" si="4"/>
        <v>1042</v>
      </c>
      <c r="T19" s="28">
        <f t="shared" si="5"/>
        <v>0</v>
      </c>
      <c r="U19" s="28">
        <f t="shared" si="6"/>
        <v>0</v>
      </c>
      <c r="V19" s="28">
        <f t="shared" si="7"/>
        <v>1042</v>
      </c>
      <c r="W19" s="31">
        <f t="shared" si="8"/>
        <v>48116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46616</v>
      </c>
      <c r="M20" s="29"/>
      <c r="N20" s="799"/>
      <c r="O20" s="30">
        <f t="shared" si="2"/>
        <v>6.6283694211224037E-3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46616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46616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46616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39116</v>
      </c>
      <c r="M22" s="29"/>
      <c r="N22" s="799"/>
      <c r="O22" s="30">
        <f t="shared" si="2"/>
        <v>3.3141847105612021E-2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39116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39116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39116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39116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39116</v>
      </c>
      <c r="X24" s="32">
        <f t="shared" si="9"/>
        <v>0</v>
      </c>
      <c r="Y24" s="74" t="s">
        <v>169</v>
      </c>
      <c r="Z24" s="680">
        <f>+Z18+Z19</f>
        <v>219016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27116</v>
      </c>
      <c r="M25" s="29"/>
      <c r="N25" s="799"/>
      <c r="O25" s="30">
        <f t="shared" si="2"/>
        <v>5.302695536897923E-2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27116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-7284</v>
      </c>
      <c r="M26" s="86"/>
      <c r="N26" s="800"/>
      <c r="O26" s="87">
        <f t="shared" si="2"/>
        <v>0.15201060539107381</v>
      </c>
      <c r="P26" s="803"/>
      <c r="Q26" s="144">
        <f t="shared" si="3"/>
        <v>0</v>
      </c>
      <c r="R26" s="144">
        <f>-34400+116</f>
        <v>-34284</v>
      </c>
      <c r="S26" s="423">
        <f t="shared" si="4"/>
        <v>0</v>
      </c>
      <c r="T26" s="423">
        <f t="shared" si="5"/>
        <v>0</v>
      </c>
      <c r="U26" s="423">
        <f t="shared" si="6"/>
        <v>116</v>
      </c>
      <c r="V26" s="423">
        <f t="shared" si="7"/>
        <v>116</v>
      </c>
      <c r="W26" s="144">
        <f t="shared" si="8"/>
        <v>27000</v>
      </c>
      <c r="X26" s="32">
        <f t="shared" si="9"/>
        <v>34284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-7284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27000</v>
      </c>
      <c r="X27" s="32">
        <f t="shared" si="9"/>
        <v>34284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-7284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27000</v>
      </c>
      <c r="X28" s="32">
        <f t="shared" si="9"/>
        <v>34284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-7284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27000</v>
      </c>
      <c r="X29" s="32">
        <f t="shared" si="9"/>
        <v>34284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-7284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27000</v>
      </c>
      <c r="X30" s="32">
        <f t="shared" si="9"/>
        <v>34284</v>
      </c>
      <c r="Y30" s="74" t="s">
        <v>89</v>
      </c>
      <c r="Z30" s="682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-7284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27000</v>
      </c>
      <c r="X31" s="32">
        <f t="shared" si="9"/>
        <v>34284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-7284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27000</v>
      </c>
      <c r="X32" s="32">
        <f t="shared" si="9"/>
        <v>34284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-7284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27000</v>
      </c>
      <c r="X33" s="32">
        <f t="shared" si="9"/>
        <v>34284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-7284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27000</v>
      </c>
      <c r="X34" s="32">
        <f t="shared" si="9"/>
        <v>34284</v>
      </c>
      <c r="Y34" s="806"/>
      <c r="Z34" s="112">
        <v>80000</v>
      </c>
      <c r="AA34" s="113">
        <f>AD5-Z34</f>
        <v>-39859</v>
      </c>
      <c r="AB34" s="113">
        <f>Z34+AA34</f>
        <v>40141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-7284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27000</v>
      </c>
      <c r="X35" s="32">
        <f>W35-L35</f>
        <v>34284</v>
      </c>
      <c r="Y35" s="117" t="s">
        <v>56</v>
      </c>
      <c r="Z35" s="113">
        <f>Z34*43%</f>
        <v>34400</v>
      </c>
      <c r="AA35" s="113">
        <f>AD4-Z35</f>
        <v>-34284</v>
      </c>
      <c r="AB35" s="113">
        <f>Z35+AA35</f>
        <v>116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-7284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27000</v>
      </c>
      <c r="X36" s="32">
        <f t="shared" si="9"/>
        <v>34284</v>
      </c>
      <c r="Y36" s="117" t="s">
        <v>60</v>
      </c>
      <c r="Z36" s="113">
        <f>Z34*57%</f>
        <v>45599.999999999993</v>
      </c>
      <c r="AA36" s="113">
        <f>AD3-Z36</f>
        <v>-5574.9999999999927</v>
      </c>
      <c r="AB36" s="113">
        <f>Z36+AA36</f>
        <v>40025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-7284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27000</v>
      </c>
      <c r="X37" s="32">
        <f t="shared" si="9"/>
        <v>34284</v>
      </c>
      <c r="Y37" s="117" t="s">
        <v>94</v>
      </c>
      <c r="Z37" s="113">
        <f>+Z35+Z36</f>
        <v>80000</v>
      </c>
      <c r="AA37" s="113">
        <f>SUM(AA35:AA36)</f>
        <v>-39858.999999999993</v>
      </c>
      <c r="AB37" s="113">
        <f>Z37+AA37</f>
        <v>40141.000000000007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/>
      <c r="I38" s="26"/>
      <c r="J38" s="26"/>
      <c r="K38" s="27">
        <f t="shared" si="0"/>
        <v>0</v>
      </c>
      <c r="L38" s="28">
        <f>+L37-K38</f>
        <v>-7284</v>
      </c>
      <c r="M38" s="29"/>
      <c r="N38" s="799"/>
      <c r="O38" s="30">
        <f t="shared" si="10"/>
        <v>0</v>
      </c>
      <c r="P38" s="802"/>
      <c r="Q38" s="31">
        <f t="shared" si="11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8"/>
        <v>27000</v>
      </c>
      <c r="X38" s="32">
        <f t="shared" si="9"/>
        <v>34284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-7284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27000</v>
      </c>
      <c r="X39" s="32">
        <f t="shared" si="9"/>
        <v>34284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-7284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27000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-7284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27000</v>
      </c>
      <c r="X41" s="32">
        <f t="shared" si="9"/>
        <v>34284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-7284</v>
      </c>
      <c r="M42" s="29"/>
      <c r="N42" s="799"/>
      <c r="O42" s="30">
        <f t="shared" si="10"/>
        <v>0</v>
      </c>
      <c r="P42" s="802"/>
      <c r="Q42" s="31">
        <f t="shared" si="11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8"/>
        <v>27000</v>
      </c>
      <c r="X42" s="32">
        <f t="shared" si="9"/>
        <v>34284</v>
      </c>
      <c r="Y42" s="74" t="s">
        <v>96</v>
      </c>
      <c r="Z42" s="75">
        <v>35500</v>
      </c>
      <c r="AA42" s="129">
        <f>+H7+H8+H17+H18+H19+H22+H32+H33+H43+H44+H45+H53</f>
        <v>30374</v>
      </c>
      <c r="AB42" s="129">
        <f>+I7+I8+I17+I18+I19+I22+I32+I33+I43+I44+I45+I53</f>
        <v>5626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-7284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27000</v>
      </c>
      <c r="X43" s="32">
        <f t="shared" si="9"/>
        <v>34284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-7284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27000</v>
      </c>
      <c r="X44" s="32">
        <f t="shared" si="9"/>
        <v>34284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-7284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27000</v>
      </c>
      <c r="X45" s="32">
        <f t="shared" si="9"/>
        <v>34284</v>
      </c>
      <c r="Y45" s="131" t="s">
        <v>98</v>
      </c>
      <c r="Z45" s="132">
        <v>9600</v>
      </c>
      <c r="AA45" s="133">
        <f>+H12+H13+H37+H38</f>
        <v>9600</v>
      </c>
      <c r="AB45" s="133">
        <f>+I12+I13+I37+I38</f>
        <v>0</v>
      </c>
      <c r="AC45" s="133">
        <f>+AA45+AB45</f>
        <v>9600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-17284</v>
      </c>
      <c r="M46" s="29"/>
      <c r="N46" s="799"/>
      <c r="O46" s="30">
        <f t="shared" si="10"/>
        <v>1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17000</v>
      </c>
      <c r="X46" s="32">
        <f t="shared" si="9"/>
        <v>34284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-17284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17000</v>
      </c>
      <c r="X47" s="32">
        <f t="shared" si="9"/>
        <v>34284</v>
      </c>
      <c r="Y47" s="57">
        <v>20000</v>
      </c>
      <c r="Z47" s="89">
        <v>4586</v>
      </c>
      <c r="AA47" s="35"/>
      <c r="AB47" s="57">
        <f>57000-AA60</f>
        <v>16975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-17284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17000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-17284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17000</v>
      </c>
      <c r="X49" s="32">
        <f t="shared" si="9"/>
        <v>34284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-17284</v>
      </c>
      <c r="M50" s="95"/>
      <c r="N50" s="804">
        <f>SUM(K50:K55)</f>
        <v>17000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17000</v>
      </c>
      <c r="X50" s="32">
        <f t="shared" si="9"/>
        <v>34284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18">
        <v>15000</v>
      </c>
      <c r="J51" s="611"/>
      <c r="K51" s="27">
        <f t="shared" si="0"/>
        <v>15000</v>
      </c>
      <c r="L51" s="28">
        <f t="shared" si="1"/>
        <v>-32284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0</v>
      </c>
      <c r="T51" s="28">
        <f t="shared" si="5"/>
        <v>15000</v>
      </c>
      <c r="U51" s="28">
        <f t="shared" si="6"/>
        <v>0</v>
      </c>
      <c r="V51" s="28">
        <f t="shared" si="7"/>
        <v>15000</v>
      </c>
      <c r="W51" s="31">
        <f t="shared" si="8"/>
        <v>2000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-32284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2000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26"/>
      <c r="J53" s="26"/>
      <c r="K53" s="27">
        <f t="shared" si="0"/>
        <v>2000</v>
      </c>
      <c r="L53" s="28">
        <f>+L52-K53</f>
        <v>-34284</v>
      </c>
      <c r="M53" s="29"/>
      <c r="N53" s="799"/>
      <c r="O53" s="30">
        <f t="shared" si="10"/>
        <v>0.2</v>
      </c>
      <c r="P53" s="802"/>
      <c r="Q53" s="97">
        <f t="shared" si="11"/>
        <v>0</v>
      </c>
      <c r="R53" s="31"/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8"/>
        <v>0</v>
      </c>
      <c r="X53" s="32">
        <f t="shared" si="9"/>
        <v>34284</v>
      </c>
      <c r="Y53" s="80">
        <f>+Y52-15000</f>
        <v>-2513.5</v>
      </c>
      <c r="Z53" s="49">
        <f>+Z60-43000</f>
        <v>-42884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-34284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0</v>
      </c>
      <c r="X54" s="32">
        <f t="shared" si="9"/>
        <v>34284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18"/>
      <c r="J55" s="143"/>
      <c r="K55" s="27">
        <f t="shared" si="0"/>
        <v>0</v>
      </c>
      <c r="L55" s="423">
        <f t="shared" si="1"/>
        <v>-34284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0</v>
      </c>
      <c r="X55" s="119">
        <f t="shared" si="9"/>
        <v>34284</v>
      </c>
      <c r="Y55" s="807">
        <f>Z8</f>
        <v>41928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-34284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34284</v>
      </c>
      <c r="Y56" s="811" t="s">
        <v>186</v>
      </c>
      <c r="Z56" s="812"/>
      <c r="AA56" s="812"/>
      <c r="AB56" s="812"/>
      <c r="AC56" s="812"/>
      <c r="AD56" s="813"/>
      <c r="AE56" s="13"/>
      <c r="AJ56" s="80">
        <v>52311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-34284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80">
        <f>+AJ56*Z30</f>
        <v>52165.893780197228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-34284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47006</v>
      </c>
      <c r="AA58" s="182">
        <f>+AB3</f>
        <v>60394</v>
      </c>
      <c r="AB58" s="182">
        <f>Z12</f>
        <v>-20000</v>
      </c>
      <c r="AC58" s="181">
        <f>AB10</f>
        <v>0</v>
      </c>
      <c r="AD58" s="661">
        <f>SUM(Z58:AC58)</f>
        <v>87400</v>
      </c>
      <c r="AE58" s="185">
        <v>62660</v>
      </c>
      <c r="AF58" s="17">
        <f>+AE58-AD58</f>
        <v>-24740</v>
      </c>
      <c r="AH58" s="19">
        <v>40025</v>
      </c>
      <c r="AI58" s="509">
        <f>+AH58/$AH$60</f>
        <v>0.99711018659226225</v>
      </c>
      <c r="AJ58" s="80">
        <f>+$AJ$57*AI58</f>
        <v>52015.144080924591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-34284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171894</v>
      </c>
      <c r="AA59" s="182">
        <f>AC3</f>
        <v>189904</v>
      </c>
      <c r="AB59" s="182">
        <f>Z11</f>
        <v>0</v>
      </c>
      <c r="AC59" s="181">
        <v>0</v>
      </c>
      <c r="AD59" s="661">
        <f>SUM(Z59:AC59)</f>
        <v>361798</v>
      </c>
      <c r="AE59" s="185">
        <f>354638+6000</f>
        <v>360638</v>
      </c>
      <c r="AF59" s="17">
        <f>+AE59-AD59</f>
        <v>-1160</v>
      </c>
      <c r="AG59" s="51"/>
      <c r="AH59" s="19">
        <v>116</v>
      </c>
      <c r="AI59" s="509">
        <f>+AH59/$AH$60</f>
        <v>2.8898134077377244E-3</v>
      </c>
      <c r="AJ59" s="80">
        <f>+$AJ$57*AI59</f>
        <v>150.74969927263592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-34284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116</v>
      </c>
      <c r="AA60" s="182">
        <f>+AD3+AH10</f>
        <v>40025</v>
      </c>
      <c r="AB60" s="191">
        <v>0</v>
      </c>
      <c r="AC60" s="181">
        <v>0</v>
      </c>
      <c r="AD60" s="662">
        <f>SUM(Z60:AC60)</f>
        <v>40141</v>
      </c>
      <c r="AE60" s="185">
        <v>60197</v>
      </c>
      <c r="AF60" s="17">
        <f>+AE60-AD60</f>
        <v>20056</v>
      </c>
      <c r="AG60" s="20"/>
      <c r="AH60" s="50">
        <f>SUM(AH58:AH59)</f>
        <v>40141</v>
      </c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-34284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219016</v>
      </c>
      <c r="AA61" s="194">
        <f>SUM(AA58:AA60)</f>
        <v>290323</v>
      </c>
      <c r="AB61" s="194">
        <f>SUM(AB58:AB60)</f>
        <v>-20000</v>
      </c>
      <c r="AC61" s="194">
        <f>AB10</f>
        <v>0</v>
      </c>
      <c r="AD61" s="195">
        <f>SUM(AD58:AD60)</f>
        <v>489339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-34284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219619.22702764228</v>
      </c>
      <c r="AA62" s="200">
        <f>(AA58/$Z$28+(AA59/$Z$27)+(AA60/$Z$29))</f>
        <v>291129.36899902002</v>
      </c>
      <c r="AB62" s="200">
        <f>(AB58/$Z$28)+(AB59/$Z$27)</f>
        <v>-20051.713770849296</v>
      </c>
      <c r="AC62" s="200">
        <f>AB9</f>
        <v>0</v>
      </c>
      <c r="AD62" s="201">
        <f>(AD58/$Z$28+(AD59/$Z$27)+(AD60/$Z$29))</f>
        <v>490696.88225581299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-34284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313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-34284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314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-34284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172859.76570000005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-34284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79266.587620000006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-34284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-34284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489338.84035753057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-34284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-34284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-34284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-34284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41928</v>
      </c>
      <c r="AA72" s="818" t="s">
        <v>118</v>
      </c>
      <c r="AB72" s="818"/>
      <c r="AC72" s="818"/>
      <c r="AD72" s="216"/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-34284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0</v>
      </c>
      <c r="AA73" s="714" t="s">
        <v>120</v>
      </c>
      <c r="AB73" s="714"/>
      <c r="AC73" s="714"/>
      <c r="AD73" s="219">
        <f>24-AD72</f>
        <v>24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-34284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13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-34284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713" t="s">
        <v>121</v>
      </c>
      <c r="Z75" s="713" t="s">
        <v>122</v>
      </c>
      <c r="AA75" s="713" t="s">
        <v>123</v>
      </c>
      <c r="AB75" s="820" t="s">
        <v>124</v>
      </c>
      <c r="AC75" s="821"/>
      <c r="AD75" s="822"/>
      <c r="AE75" s="713" t="s">
        <v>125</v>
      </c>
      <c r="AF75" s="713" t="s">
        <v>126</v>
      </c>
      <c r="AG75" s="149"/>
      <c r="AH75" s="713" t="s">
        <v>121</v>
      </c>
      <c r="AI75" s="713"/>
      <c r="AJ75" s="214" t="s">
        <v>7</v>
      </c>
      <c r="AK75" s="236">
        <f>((+AD78-AA78)/$AD$73)*24</f>
        <v>87400</v>
      </c>
      <c r="AL75" s="236">
        <f>AK75</f>
        <v>87400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-34284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713"/>
      <c r="Z76" s="713"/>
      <c r="AA76" s="713"/>
      <c r="AB76" s="713"/>
      <c r="AC76" s="713"/>
      <c r="AD76" s="713"/>
      <c r="AE76" s="713"/>
      <c r="AF76" s="713"/>
      <c r="AG76" s="149"/>
      <c r="AH76" s="713"/>
      <c r="AI76" s="713"/>
      <c r="AJ76" s="214" t="s">
        <v>6</v>
      </c>
      <c r="AK76" s="236">
        <f>((+AD79-AA79)/$AD$73)*24</f>
        <v>361798</v>
      </c>
      <c r="AL76" s="236">
        <f>+AK76</f>
        <v>361798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-34284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713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13"/>
      <c r="AI77" s="78"/>
      <c r="AJ77" s="214" t="s">
        <v>8</v>
      </c>
      <c r="AK77" s="236">
        <f>((+AD80-AA80)/$AD$73)*24</f>
        <v>40141</v>
      </c>
      <c r="AL77" s="236">
        <f>AK77</f>
        <v>40141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-34284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/>
      <c r="AA78" s="225"/>
      <c r="AB78" s="226">
        <f t="shared" ref="AB78:AC80" si="23">+Z58</f>
        <v>47006</v>
      </c>
      <c r="AC78" s="226">
        <f t="shared" si="23"/>
        <v>60394</v>
      </c>
      <c r="AD78" s="226">
        <f>+AB78+AC78+AB58+AC58</f>
        <v>87400</v>
      </c>
      <c r="AE78" s="519">
        <f>+((AD58/24)*$AD$73)+AA78</f>
        <v>87400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489339</v>
      </c>
      <c r="AL78" s="231">
        <f>+SUM(AL75:AL77)</f>
        <v>489339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-34284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/>
      <c r="AA79" s="225"/>
      <c r="AB79" s="226">
        <f t="shared" si="23"/>
        <v>171894</v>
      </c>
      <c r="AC79" s="226">
        <f t="shared" si="23"/>
        <v>189904</v>
      </c>
      <c r="AD79" s="226">
        <f>+AB79+AC79+AB59</f>
        <v>361798</v>
      </c>
      <c r="AE79" s="519">
        <f>+((AD59/24)*$AD$73)+AA79</f>
        <v>361798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f>Z10</f>
        <v>489339</v>
      </c>
      <c r="AL79" s="481">
        <f>AK79-AK78</f>
        <v>0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-34284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/>
      <c r="AA80" s="225"/>
      <c r="AB80" s="226">
        <f t="shared" si="23"/>
        <v>116</v>
      </c>
      <c r="AC80" s="226">
        <f t="shared" si="23"/>
        <v>40025</v>
      </c>
      <c r="AD80" s="226">
        <f>+AB80+AC80</f>
        <v>40141</v>
      </c>
      <c r="AE80" s="519">
        <f>+((AD60/24)*$AD$73)+AA80</f>
        <v>40141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-34284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0</v>
      </c>
      <c r="AA81" s="230">
        <f t="shared" si="24"/>
        <v>0</v>
      </c>
      <c r="AB81" s="229">
        <f t="shared" si="24"/>
        <v>219016</v>
      </c>
      <c r="AC81" s="229">
        <f t="shared" si="24"/>
        <v>290323</v>
      </c>
      <c r="AD81" s="229">
        <f t="shared" si="24"/>
        <v>489339</v>
      </c>
      <c r="AE81" s="229">
        <f t="shared" si="24"/>
        <v>489339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-34284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-34284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-34284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-34284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-34284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-34284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-34284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-34284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-34284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-34284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-34284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699">
        <f>(SUMIF($D$2:$D$57,"domiciliario",$I$2:$I$103))/1000</f>
        <v>30.547999999999998</v>
      </c>
      <c r="AB92" s="700">
        <f>(SUMIF($D$2:$D$57,"domiciliario",$T$2:$T$103))/1000</f>
        <v>30.547999999999998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-34284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-34284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701">
        <f>(SUMIF($D$2:$D$57,"gnv",$I$2:$I$103))/1000</f>
        <v>0.32200000000000001</v>
      </c>
      <c r="AB94" s="702">
        <f>(SUMIF($D$2:$D$57,"gnv",$T$2:$T$103))/1000</f>
        <v>0.32200000000000001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-34284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16.135999999999999</v>
      </c>
      <c r="AB95" s="702">
        <f>(SUMIF($D$2:$D$57,"termico",$T$2:$T$103)+SUMIF($D$2:$D$57,"electrico",$T$2:$T$103)+SUMIF($D$2:$D$57,"térmico",$T$2:$T$103))/1000</f>
        <v>16.135999999999999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-34284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-34284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705">
        <f>(SUMIF($D$2:$D$57,"domiciliario",$H$2:$H$103))/1000</f>
        <v>31.852</v>
      </c>
      <c r="AB97" s="706">
        <f>(SUMIF($D$2:$D$57,"domiciliario",$S$2:$S$103))/1000</f>
        <v>31.852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-34284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707">
        <f>(SUMIF($D$2:$D$57,"industrial",$H$2:$H$103))/1000</f>
        <v>35.042000000000002</v>
      </c>
      <c r="AB98" s="708">
        <f>(SUMIF($D$2:$D$57,"industrial",$S$2:$S$103))/1000</f>
        <v>35.042000000000002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-34284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-34284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105</v>
      </c>
      <c r="AB100" s="708">
        <f>(SUMIF($D$2:$D$57,"termico",$S$2:$S$103)+SUMIF($D$2:$D$57,"electrico",$S$2:$S$103)+SUMIF($D$2:$D$57,"térmico",$S$2:$S$103))/1000</f>
        <v>105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-34284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-34284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0.11600000000000001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-34284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171894</v>
      </c>
      <c r="I105" s="252">
        <f>+SUM(I2:I103)</f>
        <v>47006</v>
      </c>
      <c r="J105" s="252">
        <f>+SUM(J2:J103)</f>
        <v>34400</v>
      </c>
      <c r="K105" s="252">
        <f>SUM(K2:K103)</f>
        <v>253300</v>
      </c>
      <c r="L105" s="253">
        <f>+L103</f>
        <v>-34284</v>
      </c>
      <c r="M105" s="252">
        <f>SUM(M2:M103)</f>
        <v>0</v>
      </c>
      <c r="N105" s="252">
        <f>SUM(N2:N103)</f>
        <v>253300</v>
      </c>
      <c r="O105" s="252"/>
      <c r="P105" s="252">
        <f>SUM(P2:P103)</f>
        <v>0</v>
      </c>
      <c r="Q105" s="252">
        <f>SUM(Q2:Q103)</f>
        <v>0</v>
      </c>
      <c r="R105" s="252">
        <f>SUM(R2:R103)</f>
        <v>-34284</v>
      </c>
      <c r="S105" s="252">
        <f>SUM(S2:S103)</f>
        <v>171894</v>
      </c>
      <c r="T105" s="252">
        <f>+SUM(T2:T103)</f>
        <v>47006</v>
      </c>
      <c r="U105" s="252">
        <f>SUM(U2:U103)</f>
        <v>116</v>
      </c>
      <c r="V105" s="252">
        <f>SUM(V2:V103)</f>
        <v>219016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232800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25468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99" priority="3" operator="lessThan">
      <formula>$AA$78</formula>
    </cfRule>
    <cfRule type="cellIs" dxfId="98" priority="5" operator="greaterThan">
      <formula>$AE$78</formula>
    </cfRule>
  </conditionalFormatting>
  <conditionalFormatting sqref="AA79">
    <cfRule type="cellIs" dxfId="97" priority="4" operator="greaterThan">
      <formula>$AE$79</formula>
    </cfRule>
  </conditionalFormatting>
  <conditionalFormatting sqref="AA80">
    <cfRule type="cellIs" dxfId="96" priority="2" operator="greaterThan">
      <formula>$AE$79</formula>
    </cfRule>
  </conditionalFormatting>
  <conditionalFormatting sqref="AU4:AU23">
    <cfRule type="cellIs" dxfId="9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50"/>
  </sheetPr>
  <dimension ref="A1:AX186"/>
  <sheetViews>
    <sheetView topLeftCell="N45" zoomScale="80" zoomScaleNormal="80" workbookViewId="0">
      <selection activeCell="AF61" sqref="AF61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207373</v>
      </c>
      <c r="M2" s="29"/>
      <c r="N2" s="798">
        <f>SUM(K2:K26)</f>
        <v>226300</v>
      </c>
      <c r="O2" s="30">
        <f>+K2/$N$2</f>
        <v>1.3256738842244807E-2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207373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18" t="s">
        <v>31</v>
      </c>
      <c r="AE2" s="718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206273</v>
      </c>
      <c r="M3" s="29"/>
      <c r="N3" s="799"/>
      <c r="O3" s="30">
        <f t="shared" ref="O3:O29" si="2">+K3/$N$2</f>
        <v>4.8608042421564293E-3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206273</v>
      </c>
      <c r="X3" s="32">
        <f t="shared" ref="X3:X56" si="9">W3-L3</f>
        <v>0</v>
      </c>
      <c r="Y3" s="37" t="s">
        <v>34</v>
      </c>
      <c r="Z3" s="38">
        <f>ROUND((Z13*57%),0)</f>
        <v>279642</v>
      </c>
      <c r="AA3" s="39">
        <f>ROUND((+Z14*0.57),0)</f>
        <v>278866</v>
      </c>
      <c r="AB3" s="454">
        <v>35060</v>
      </c>
      <c r="AC3" s="455">
        <v>189104</v>
      </c>
      <c r="AD3" s="40">
        <v>54700</v>
      </c>
      <c r="AE3" s="41">
        <f>SUM(AB3:AD3)</f>
        <v>278864</v>
      </c>
      <c r="AF3" s="41">
        <f>AA3-AE3</f>
        <v>2</v>
      </c>
      <c r="AG3" s="641">
        <f>AA3-AB3-AC3-AD3</f>
        <v>2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183873</v>
      </c>
      <c r="M4" s="29"/>
      <c r="N4" s="799"/>
      <c r="O4" s="30">
        <f t="shared" si="2"/>
        <v>9.8983650022094569E-2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183873</v>
      </c>
      <c r="X4" s="32">
        <f t="shared" si="9"/>
        <v>0</v>
      </c>
      <c r="Y4" s="37" t="s">
        <v>38</v>
      </c>
      <c r="Z4" s="38">
        <f>ROUND((Z13*43%),0)</f>
        <v>210958</v>
      </c>
      <c r="AA4" s="39">
        <f>ROUND((+Z14*0.43),0)</f>
        <v>210373</v>
      </c>
      <c r="AB4" s="43">
        <f>T105</f>
        <v>33523</v>
      </c>
      <c r="AC4" s="43">
        <f>S105</f>
        <v>176850</v>
      </c>
      <c r="AD4" s="40">
        <f>U105</f>
        <v>0</v>
      </c>
      <c r="AE4" s="41">
        <f>SUM(AB4:AD4)</f>
        <v>210373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182673</v>
      </c>
      <c r="M5" s="29"/>
      <c r="N5" s="799"/>
      <c r="O5" s="30">
        <f t="shared" si="2"/>
        <v>5.3026955368979233E-3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182673</v>
      </c>
      <c r="X5" s="32">
        <f t="shared" si="9"/>
        <v>0</v>
      </c>
      <c r="Y5" s="44" t="s">
        <v>41</v>
      </c>
      <c r="Z5" s="38">
        <f>SUM(Z3:Z4)</f>
        <v>490600</v>
      </c>
      <c r="AA5" s="45">
        <f>SUM(AA3:AA4)</f>
        <v>489239</v>
      </c>
      <c r="AB5" s="46">
        <f>SUM(AB3:AB4)</f>
        <v>68583</v>
      </c>
      <c r="AC5" s="41">
        <f>SUM(AC3:AC4)</f>
        <v>365954</v>
      </c>
      <c r="AD5" s="40">
        <f>SUM(AD3:AD4)</f>
        <v>54700</v>
      </c>
      <c r="AE5" s="41">
        <f>SUM(AB5:AD5)</f>
        <v>489237</v>
      </c>
      <c r="AF5" s="47">
        <f>SUM(AF3:AF4)</f>
        <v>2</v>
      </c>
      <c r="AG5" s="642">
        <f>SUM(AG3:AG4)</f>
        <v>2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170673</v>
      </c>
      <c r="M6" s="29"/>
      <c r="N6" s="799"/>
      <c r="O6" s="30">
        <f t="shared" si="2"/>
        <v>5.302695536897923E-2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170673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12036+1796</f>
        <v>13832</v>
      </c>
      <c r="I7" s="518">
        <f>2764+800+604</f>
        <v>4168</v>
      </c>
      <c r="J7" s="26"/>
      <c r="K7" s="27">
        <f t="shared" si="0"/>
        <v>18000</v>
      </c>
      <c r="L7" s="28">
        <f t="shared" si="1"/>
        <v>152673</v>
      </c>
      <c r="M7" s="29"/>
      <c r="N7" s="799"/>
      <c r="O7" s="30">
        <f t="shared" si="2"/>
        <v>7.9540433053468848E-2</v>
      </c>
      <c r="P7" s="802"/>
      <c r="Q7" s="31">
        <f t="shared" si="3"/>
        <v>0</v>
      </c>
      <c r="R7" s="31"/>
      <c r="S7" s="28">
        <f t="shared" si="4"/>
        <v>13832</v>
      </c>
      <c r="T7" s="28">
        <f t="shared" si="5"/>
        <v>4168</v>
      </c>
      <c r="U7" s="28">
        <f t="shared" si="6"/>
        <v>0</v>
      </c>
      <c r="V7" s="28">
        <f t="shared" si="7"/>
        <v>18000</v>
      </c>
      <c r="W7" s="31">
        <f t="shared" si="8"/>
        <v>152673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9100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150173</v>
      </c>
      <c r="M8" s="29"/>
      <c r="N8" s="799"/>
      <c r="O8" s="30">
        <f t="shared" si="2"/>
        <v>1.104728236853734E-2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150173</v>
      </c>
      <c r="X8" s="32">
        <f t="shared" si="9"/>
        <v>0</v>
      </c>
      <c r="Y8" s="14" t="s">
        <v>47</v>
      </c>
      <c r="Z8" s="54">
        <v>41929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813</v>
      </c>
      <c r="I9" s="518">
        <v>1387</v>
      </c>
      <c r="J9" s="26"/>
      <c r="K9" s="27">
        <f t="shared" si="0"/>
        <v>2200</v>
      </c>
      <c r="L9" s="28">
        <f t="shared" si="1"/>
        <v>147973</v>
      </c>
      <c r="M9" s="29"/>
      <c r="N9" s="799"/>
      <c r="O9" s="30">
        <f t="shared" si="2"/>
        <v>9.7216084843128586E-3</v>
      </c>
      <c r="P9" s="802"/>
      <c r="Q9" s="31">
        <f t="shared" si="3"/>
        <v>0</v>
      </c>
      <c r="R9" s="31"/>
      <c r="S9" s="28">
        <f t="shared" si="4"/>
        <v>813</v>
      </c>
      <c r="T9" s="28">
        <f t="shared" si="5"/>
        <v>1387</v>
      </c>
      <c r="U9" s="28">
        <f t="shared" si="6"/>
        <v>0</v>
      </c>
      <c r="V9" s="28">
        <f t="shared" si="7"/>
        <v>2200</v>
      </c>
      <c r="W9" s="31">
        <f t="shared" si="8"/>
        <v>147973</v>
      </c>
      <c r="X9" s="32">
        <f t="shared" si="9"/>
        <v>0</v>
      </c>
      <c r="Y9" s="14" t="s">
        <v>189</v>
      </c>
      <c r="Z9" s="58">
        <v>490600</v>
      </c>
      <c r="AA9" s="59">
        <f>Z9*14.65/14.73</f>
        <v>487935.50577053631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26">
        <v>0</v>
      </c>
      <c r="J10" s="26"/>
      <c r="K10" s="27">
        <f t="shared" si="0"/>
        <v>20000</v>
      </c>
      <c r="L10" s="28">
        <f t="shared" si="1"/>
        <v>127973</v>
      </c>
      <c r="M10" s="29"/>
      <c r="N10" s="799"/>
      <c r="O10" s="30">
        <f t="shared" si="2"/>
        <v>8.8378258948298719E-2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127973</v>
      </c>
      <c r="X10" s="32">
        <f t="shared" si="9"/>
        <v>0</v>
      </c>
      <c r="Y10" s="14" t="s">
        <v>191</v>
      </c>
      <c r="Z10" s="58">
        <f>ROUND((Z9*Z30),0)</f>
        <v>489239</v>
      </c>
      <c r="AA10" s="59">
        <f>Z10*14.65/14.73</f>
        <v>486581.89748811949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109973</v>
      </c>
      <c r="M11" s="29"/>
      <c r="N11" s="799"/>
      <c r="O11" s="30">
        <f t="shared" si="2"/>
        <v>7.9540433053468848E-2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109973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106373</v>
      </c>
      <c r="M12" s="29"/>
      <c r="N12" s="799"/>
      <c r="O12" s="30">
        <f t="shared" si="2"/>
        <v>1.5908086610693768E-2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106373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>
        <v>0</v>
      </c>
      <c r="J13" s="26"/>
      <c r="K13" s="27">
        <f t="shared" si="0"/>
        <v>6000</v>
      </c>
      <c r="L13" s="28">
        <f t="shared" si="1"/>
        <v>100373</v>
      </c>
      <c r="M13" s="29"/>
      <c r="N13" s="799"/>
      <c r="O13" s="30">
        <f t="shared" si="2"/>
        <v>2.6513477684489615E-2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100373</v>
      </c>
      <c r="X13" s="32">
        <f t="shared" si="9"/>
        <v>0</v>
      </c>
      <c r="Y13" s="14" t="s">
        <v>67</v>
      </c>
      <c r="Z13" s="67">
        <f>Z14/Z30</f>
        <v>490599.88192352676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17200</v>
      </c>
      <c r="I14" s="26">
        <v>0</v>
      </c>
      <c r="J14" s="26"/>
      <c r="K14" s="27">
        <f t="shared" si="0"/>
        <v>17200</v>
      </c>
      <c r="L14" s="28">
        <f t="shared" si="1"/>
        <v>83173</v>
      </c>
      <c r="M14" s="29"/>
      <c r="N14" s="799"/>
      <c r="O14" s="30">
        <f t="shared" si="2"/>
        <v>7.6005302695536903E-2</v>
      </c>
      <c r="P14" s="802"/>
      <c r="Q14" s="31">
        <f t="shared" si="3"/>
        <v>0</v>
      </c>
      <c r="R14" s="31">
        <v>0</v>
      </c>
      <c r="S14" s="28">
        <f t="shared" si="4"/>
        <v>17200</v>
      </c>
      <c r="T14" s="28">
        <f t="shared" si="5"/>
        <v>0</v>
      </c>
      <c r="U14" s="28">
        <f t="shared" si="6"/>
        <v>0</v>
      </c>
      <c r="V14" s="28">
        <f t="shared" si="7"/>
        <v>17200</v>
      </c>
      <c r="W14" s="31">
        <f t="shared" si="8"/>
        <v>83173</v>
      </c>
      <c r="X14" s="32">
        <f t="shared" si="9"/>
        <v>0</v>
      </c>
      <c r="Y14" s="14" t="s">
        <v>70</v>
      </c>
      <c r="Z14" s="67">
        <f>+Z10-(Z11+Z12)</f>
        <v>489239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65973</v>
      </c>
      <c r="M15" s="29"/>
      <c r="N15" s="799"/>
      <c r="O15" s="30">
        <f t="shared" si="2"/>
        <v>7.6005302695536903E-2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65973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45473</v>
      </c>
      <c r="M16" s="29"/>
      <c r="N16" s="799"/>
      <c r="O16" s="30">
        <f t="shared" si="2"/>
        <v>9.0587715422006193E-2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45473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3500</v>
      </c>
      <c r="I17" s="26"/>
      <c r="J17" s="26"/>
      <c r="K17" s="27">
        <f t="shared" si="0"/>
        <v>3500</v>
      </c>
      <c r="L17" s="28">
        <f t="shared" si="1"/>
        <v>41973</v>
      </c>
      <c r="M17" s="29"/>
      <c r="N17" s="799"/>
      <c r="O17" s="30">
        <f t="shared" si="2"/>
        <v>1.5466195315952275E-2</v>
      </c>
      <c r="P17" s="802"/>
      <c r="Q17" s="31">
        <f t="shared" si="3"/>
        <v>0</v>
      </c>
      <c r="R17" s="31">
        <v>0</v>
      </c>
      <c r="S17" s="28">
        <f t="shared" si="4"/>
        <v>3500</v>
      </c>
      <c r="T17" s="28">
        <f t="shared" si="5"/>
        <v>0</v>
      </c>
      <c r="U17" s="28">
        <f t="shared" si="6"/>
        <v>0</v>
      </c>
      <c r="V17" s="28">
        <f t="shared" si="7"/>
        <v>3500</v>
      </c>
      <c r="W17" s="31">
        <f t="shared" si="8"/>
        <v>41973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325</v>
      </c>
      <c r="J18" s="26"/>
      <c r="K18" s="27">
        <f t="shared" si="0"/>
        <v>325</v>
      </c>
      <c r="L18" s="28">
        <f t="shared" si="1"/>
        <v>41648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325</v>
      </c>
      <c r="U18" s="28">
        <f t="shared" si="6"/>
        <v>0</v>
      </c>
      <c r="V18" s="28">
        <f t="shared" si="7"/>
        <v>325</v>
      </c>
      <c r="W18" s="31">
        <f t="shared" si="8"/>
        <v>41648</v>
      </c>
      <c r="X18" s="32"/>
      <c r="Y18" s="14" t="s">
        <v>77</v>
      </c>
      <c r="Z18" s="71">
        <f>ROUND(Z14*0.43,0)</f>
        <v>210373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2175</v>
      </c>
      <c r="I19" s="26"/>
      <c r="J19" s="26"/>
      <c r="K19" s="27">
        <f t="shared" si="0"/>
        <v>2175</v>
      </c>
      <c r="L19" s="28">
        <f t="shared" si="1"/>
        <v>39473</v>
      </c>
      <c r="M19" s="29"/>
      <c r="N19" s="799"/>
      <c r="O19" s="30">
        <f t="shared" si="2"/>
        <v>9.6111356606274848E-3</v>
      </c>
      <c r="P19" s="802"/>
      <c r="Q19" s="31">
        <f t="shared" si="3"/>
        <v>0</v>
      </c>
      <c r="R19" s="31">
        <v>0</v>
      </c>
      <c r="S19" s="28">
        <f t="shared" si="4"/>
        <v>2175</v>
      </c>
      <c r="T19" s="28">
        <f t="shared" si="5"/>
        <v>0</v>
      </c>
      <c r="U19" s="28">
        <f t="shared" si="6"/>
        <v>0</v>
      </c>
      <c r="V19" s="28">
        <f t="shared" si="7"/>
        <v>2175</v>
      </c>
      <c r="W19" s="31">
        <f t="shared" si="8"/>
        <v>39473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37973</v>
      </c>
      <c r="M20" s="29"/>
      <c r="N20" s="799"/>
      <c r="O20" s="30">
        <f t="shared" si="2"/>
        <v>6.6283694211224037E-3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37973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37973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37973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30473</v>
      </c>
      <c r="M22" s="29"/>
      <c r="N22" s="799"/>
      <c r="O22" s="30">
        <f t="shared" si="2"/>
        <v>3.3141847105612021E-2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30473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30473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30473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30473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30473</v>
      </c>
      <c r="X24" s="32">
        <f t="shared" si="9"/>
        <v>0</v>
      </c>
      <c r="Y24" s="74" t="s">
        <v>169</v>
      </c>
      <c r="Z24" s="680">
        <f>+Z18+Z19</f>
        <v>210373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18473</v>
      </c>
      <c r="M25" s="29"/>
      <c r="N25" s="799"/>
      <c r="O25" s="30">
        <f t="shared" si="2"/>
        <v>5.302695536897923E-2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18473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-15927</v>
      </c>
      <c r="M26" s="86"/>
      <c r="N26" s="800"/>
      <c r="O26" s="87">
        <f t="shared" si="2"/>
        <v>0.15201060539107381</v>
      </c>
      <c r="P26" s="803"/>
      <c r="Q26" s="144">
        <f t="shared" si="3"/>
        <v>0</v>
      </c>
      <c r="R26" s="144">
        <v>-34400</v>
      </c>
      <c r="S26" s="423">
        <f t="shared" si="4"/>
        <v>0</v>
      </c>
      <c r="T26" s="423">
        <f t="shared" si="5"/>
        <v>0</v>
      </c>
      <c r="U26" s="423">
        <f t="shared" si="6"/>
        <v>0</v>
      </c>
      <c r="V26" s="423">
        <f t="shared" si="7"/>
        <v>0</v>
      </c>
      <c r="W26" s="144">
        <f t="shared" si="8"/>
        <v>18473</v>
      </c>
      <c r="X26" s="32">
        <f t="shared" si="9"/>
        <v>34400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-15927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18473</v>
      </c>
      <c r="X27" s="32">
        <f t="shared" si="9"/>
        <v>34400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-15927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18473</v>
      </c>
      <c r="X28" s="32">
        <f t="shared" si="9"/>
        <v>34400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-15927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18473</v>
      </c>
      <c r="X29" s="32">
        <f t="shared" si="9"/>
        <v>34400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-15927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18473</v>
      </c>
      <c r="X30" s="32">
        <f t="shared" si="9"/>
        <v>34400</v>
      </c>
      <c r="Y30" s="74" t="s">
        <v>89</v>
      </c>
      <c r="Z30" s="682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-15927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18473</v>
      </c>
      <c r="X31" s="32">
        <f t="shared" si="9"/>
        <v>34400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-15927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18473</v>
      </c>
      <c r="X32" s="32">
        <f t="shared" si="9"/>
        <v>34400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-15927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18473</v>
      </c>
      <c r="X33" s="32">
        <f t="shared" si="9"/>
        <v>34400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-15927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18473</v>
      </c>
      <c r="X34" s="32">
        <f t="shared" si="9"/>
        <v>34400</v>
      </c>
      <c r="Y34" s="806"/>
      <c r="Z34" s="112">
        <v>80000</v>
      </c>
      <c r="AA34" s="113">
        <f>AD5-Z34</f>
        <v>-25300</v>
      </c>
      <c r="AB34" s="113">
        <f>Z34+AA34</f>
        <v>54700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-15927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18473</v>
      </c>
      <c r="X35" s="32">
        <f>W35-L35</f>
        <v>34400</v>
      </c>
      <c r="Y35" s="117" t="s">
        <v>56</v>
      </c>
      <c r="Z35" s="113">
        <f>Z34*43%</f>
        <v>34400</v>
      </c>
      <c r="AA35" s="113">
        <f>AD4-Z35</f>
        <v>-34400</v>
      </c>
      <c r="AB35" s="113">
        <f>Z35+AA35</f>
        <v>0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-15927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18473</v>
      </c>
      <c r="X36" s="32">
        <f t="shared" si="9"/>
        <v>34400</v>
      </c>
      <c r="Y36" s="117" t="s">
        <v>60</v>
      </c>
      <c r="Z36" s="113">
        <f>Z34*57%</f>
        <v>45599.999999999993</v>
      </c>
      <c r="AA36" s="113">
        <f>AD3-Z36</f>
        <v>9100.0000000000073</v>
      </c>
      <c r="AB36" s="113">
        <f>Z36+AA36</f>
        <v>54700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-15927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18473</v>
      </c>
      <c r="X37" s="32">
        <f t="shared" si="9"/>
        <v>34400</v>
      </c>
      <c r="Y37" s="117" t="s">
        <v>94</v>
      </c>
      <c r="Z37" s="113">
        <f>+Z35+Z36</f>
        <v>80000</v>
      </c>
      <c r="AA37" s="113">
        <f>SUM(AA35:AA36)</f>
        <v>-25299.999999999993</v>
      </c>
      <c r="AB37" s="113">
        <f>Z37+AA37</f>
        <v>54700.000000000007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/>
      <c r="I38" s="26"/>
      <c r="J38" s="26"/>
      <c r="K38" s="27">
        <f t="shared" si="0"/>
        <v>0</v>
      </c>
      <c r="L38" s="28">
        <f>+L37-K38</f>
        <v>-15927</v>
      </c>
      <c r="M38" s="29"/>
      <c r="N38" s="799"/>
      <c r="O38" s="30">
        <f t="shared" si="10"/>
        <v>0</v>
      </c>
      <c r="P38" s="802"/>
      <c r="Q38" s="31">
        <f t="shared" si="11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8"/>
        <v>18473</v>
      </c>
      <c r="X38" s="32">
        <f t="shared" si="9"/>
        <v>34400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-15927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18473</v>
      </c>
      <c r="X39" s="32">
        <f t="shared" si="9"/>
        <v>34400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-15927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18473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-15927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18473</v>
      </c>
      <c r="X41" s="32">
        <f t="shared" si="9"/>
        <v>34400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-15927</v>
      </c>
      <c r="M42" s="29"/>
      <c r="N42" s="799"/>
      <c r="O42" s="30">
        <f t="shared" si="10"/>
        <v>0</v>
      </c>
      <c r="P42" s="802"/>
      <c r="Q42" s="31">
        <f t="shared" si="11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8"/>
        <v>18473</v>
      </c>
      <c r="X42" s="32">
        <f t="shared" si="9"/>
        <v>34400</v>
      </c>
      <c r="Y42" s="74" t="s">
        <v>96</v>
      </c>
      <c r="Z42" s="75">
        <v>35500</v>
      </c>
      <c r="AA42" s="129">
        <f>+H7+H8+H17+H18+H19+H22+H32+H33+H43+H44+H45+H53</f>
        <v>30507</v>
      </c>
      <c r="AB42" s="129">
        <f>+I7+I8+I17+I18+I19+I22+I32+I33+I43+I44+I45+I53</f>
        <v>4493</v>
      </c>
      <c r="AC42" s="130">
        <f>+AA42+AB42</f>
        <v>35000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-15927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18473</v>
      </c>
      <c r="X43" s="32">
        <f t="shared" si="9"/>
        <v>34400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-15927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18473</v>
      </c>
      <c r="X44" s="32">
        <f t="shared" si="9"/>
        <v>34400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-15927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18473</v>
      </c>
      <c r="X45" s="32">
        <f t="shared" si="9"/>
        <v>34400</v>
      </c>
      <c r="Y45" s="131" t="s">
        <v>98</v>
      </c>
      <c r="Z45" s="132">
        <v>9600</v>
      </c>
      <c r="AA45" s="133">
        <f>+H12+H13+H37+H38</f>
        <v>9600</v>
      </c>
      <c r="AB45" s="133">
        <f>+I12+I13+I37+I38</f>
        <v>0</v>
      </c>
      <c r="AC45" s="133">
        <f>+AA45+AB45</f>
        <v>9600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-25927</v>
      </c>
      <c r="M46" s="29"/>
      <c r="N46" s="799"/>
      <c r="O46" s="30">
        <f t="shared" si="10"/>
        <v>1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8473</v>
      </c>
      <c r="X46" s="32">
        <f t="shared" si="9"/>
        <v>34400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-25927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8473</v>
      </c>
      <c r="X47" s="32">
        <f t="shared" si="9"/>
        <v>34400</v>
      </c>
      <c r="Y47" s="57">
        <v>20000</v>
      </c>
      <c r="Z47" s="89">
        <v>4586</v>
      </c>
      <c r="AA47" s="35"/>
      <c r="AB47" s="57">
        <f>57000-AA60</f>
        <v>2300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-25927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8473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-25927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8473</v>
      </c>
      <c r="X49" s="32">
        <f t="shared" si="9"/>
        <v>34400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-25927</v>
      </c>
      <c r="M50" s="95"/>
      <c r="N50" s="804">
        <f>SUM(K50:K55)</f>
        <v>8943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8473</v>
      </c>
      <c r="X50" s="32">
        <f t="shared" si="9"/>
        <v>34400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518">
        <v>5000</v>
      </c>
      <c r="I51" s="518">
        <v>2943</v>
      </c>
      <c r="J51" s="611"/>
      <c r="K51" s="27">
        <f t="shared" si="0"/>
        <v>7943</v>
      </c>
      <c r="L51" s="28">
        <f t="shared" si="1"/>
        <v>-33870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5000</v>
      </c>
      <c r="T51" s="28">
        <f t="shared" si="5"/>
        <v>2943</v>
      </c>
      <c r="U51" s="28">
        <f t="shared" si="6"/>
        <v>0</v>
      </c>
      <c r="V51" s="28">
        <f t="shared" si="7"/>
        <v>7943</v>
      </c>
      <c r="W51" s="31">
        <f t="shared" si="8"/>
        <v>530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-33870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530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1000</v>
      </c>
      <c r="I53" s="26"/>
      <c r="J53" s="26"/>
      <c r="K53" s="27">
        <f t="shared" si="0"/>
        <v>1000</v>
      </c>
      <c r="L53" s="28">
        <f>+L52-K53</f>
        <v>-34870</v>
      </c>
      <c r="M53" s="29"/>
      <c r="N53" s="799"/>
      <c r="O53" s="30">
        <f t="shared" si="10"/>
        <v>0.1</v>
      </c>
      <c r="P53" s="802"/>
      <c r="Q53" s="97">
        <f t="shared" si="11"/>
        <v>0</v>
      </c>
      <c r="R53" s="31">
        <v>-470</v>
      </c>
      <c r="S53" s="28">
        <f t="shared" si="4"/>
        <v>530</v>
      </c>
      <c r="T53" s="28">
        <f t="shared" si="5"/>
        <v>0</v>
      </c>
      <c r="U53" s="28">
        <f t="shared" si="6"/>
        <v>0</v>
      </c>
      <c r="V53" s="28">
        <f t="shared" si="7"/>
        <v>530</v>
      </c>
      <c r="W53" s="31">
        <f t="shared" si="8"/>
        <v>0</v>
      </c>
      <c r="X53" s="32">
        <f t="shared" si="9"/>
        <v>34870</v>
      </c>
      <c r="Y53" s="80">
        <f>+Y52-15000</f>
        <v>-2513.5</v>
      </c>
      <c r="Z53" s="49">
        <f>+Z60-43000</f>
        <v>-43000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-34870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0</v>
      </c>
      <c r="X54" s="32">
        <f t="shared" si="9"/>
        <v>34870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-34870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0</v>
      </c>
      <c r="X55" s="119">
        <f t="shared" si="9"/>
        <v>34870</v>
      </c>
      <c r="Y55" s="807">
        <f>Z8</f>
        <v>41929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-34870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34870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-34870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53">
        <v>-7527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-34870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33523</v>
      </c>
      <c r="AA58" s="182">
        <f>+AB3</f>
        <v>35060</v>
      </c>
      <c r="AB58" s="182">
        <f>Z12</f>
        <v>0</v>
      </c>
      <c r="AC58" s="181">
        <f>AB10</f>
        <v>0</v>
      </c>
      <c r="AD58" s="661">
        <f>SUM(Z58:AC58)</f>
        <v>68583</v>
      </c>
      <c r="AE58" s="185">
        <v>62660</v>
      </c>
      <c r="AF58" s="17">
        <f>+AE58-AD58</f>
        <v>-5923</v>
      </c>
      <c r="AH58" s="20">
        <v>15000</v>
      </c>
      <c r="AI58" s="50">
        <f>+AH58/$AH$60</f>
        <v>0.9375</v>
      </c>
      <c r="AJ58" s="50">
        <f>+$AJ$57*AI58</f>
        <v>-7056.5625</v>
      </c>
      <c r="AK58" s="722">
        <f>+AJ58+AH58</f>
        <v>7943.4375</v>
      </c>
      <c r="AL58" s="20">
        <v>5000</v>
      </c>
      <c r="AM58" s="50">
        <f>+AL58-AK58</f>
        <v>-2943.4375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-34870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176850</v>
      </c>
      <c r="AA59" s="182">
        <f>AC3</f>
        <v>189104</v>
      </c>
      <c r="AB59" s="182">
        <f>Z11</f>
        <v>0</v>
      </c>
      <c r="AC59" s="181">
        <v>0</v>
      </c>
      <c r="AD59" s="661">
        <f>SUM(Z59:AC59)</f>
        <v>365954</v>
      </c>
      <c r="AE59" s="185">
        <f>354638+6000</f>
        <v>360638</v>
      </c>
      <c r="AF59" s="17">
        <f>+AE59-AD59</f>
        <v>-5316</v>
      </c>
      <c r="AG59" s="51"/>
      <c r="AH59" s="19">
        <v>1000</v>
      </c>
      <c r="AI59" s="50">
        <f>+AH59/$AH$60</f>
        <v>6.25E-2</v>
      </c>
      <c r="AJ59" s="50">
        <f>+$AJ$57*AI59</f>
        <v>-470.4375</v>
      </c>
      <c r="AK59" s="722">
        <f>+AJ59+AH59</f>
        <v>529.5625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-34870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0</v>
      </c>
      <c r="AA60" s="182">
        <f>+AD3+AH10</f>
        <v>54700</v>
      </c>
      <c r="AB60" s="191">
        <v>0</v>
      </c>
      <c r="AC60" s="181">
        <v>0</v>
      </c>
      <c r="AD60" s="662">
        <f>SUM(Z60:AC60)</f>
        <v>54700</v>
      </c>
      <c r="AE60" s="185">
        <v>60197</v>
      </c>
      <c r="AF60" s="17">
        <f>+AE60-AD60</f>
        <v>5497</v>
      </c>
      <c r="AG60" s="20"/>
      <c r="AH60" s="53">
        <f>SUM(AH58:AH59)</f>
        <v>16000</v>
      </c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-34870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210373</v>
      </c>
      <c r="AA61" s="194">
        <f>SUM(AA58:AA60)</f>
        <v>278864</v>
      </c>
      <c r="AB61" s="194">
        <f>SUM(AB58:AB60)</f>
        <v>0</v>
      </c>
      <c r="AC61" s="194">
        <f>AB10</f>
        <v>0</v>
      </c>
      <c r="AD61" s="195">
        <f>SUM(AD58:AD60)</f>
        <v>489237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-34870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210954.89882595529</v>
      </c>
      <c r="AA62" s="200">
        <f>(AA58/$Z$28+(AA59/$Z$27)+(AA60/$Z$29))</f>
        <v>279646.04708426946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490600.94591022469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-34870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313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-34870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314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-34870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168193.43084000004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-34870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45548.790649999995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-34870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-34870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489239.11774893926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-34870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-34870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-34870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-34870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41929</v>
      </c>
      <c r="AA72" s="818" t="s">
        <v>118</v>
      </c>
      <c r="AB72" s="818"/>
      <c r="AC72" s="818"/>
      <c r="AD72" s="216"/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-34870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0</v>
      </c>
      <c r="AA73" s="717" t="s">
        <v>120</v>
      </c>
      <c r="AB73" s="717"/>
      <c r="AC73" s="717"/>
      <c r="AD73" s="219">
        <f>24-AD72</f>
        <v>24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-34870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16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-34870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716" t="s">
        <v>121</v>
      </c>
      <c r="Z75" s="716" t="s">
        <v>122</v>
      </c>
      <c r="AA75" s="716" t="s">
        <v>123</v>
      </c>
      <c r="AB75" s="820" t="s">
        <v>124</v>
      </c>
      <c r="AC75" s="821"/>
      <c r="AD75" s="822"/>
      <c r="AE75" s="716" t="s">
        <v>125</v>
      </c>
      <c r="AF75" s="716" t="s">
        <v>126</v>
      </c>
      <c r="AG75" s="149"/>
      <c r="AH75" s="716" t="s">
        <v>121</v>
      </c>
      <c r="AI75" s="716"/>
      <c r="AJ75" s="214" t="s">
        <v>7</v>
      </c>
      <c r="AK75" s="236">
        <f>((+AD78-AA78)/$AD$73)*24</f>
        <v>68583</v>
      </c>
      <c r="AL75" s="236">
        <f>AK75</f>
        <v>68583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-34870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716"/>
      <c r="Z76" s="716"/>
      <c r="AA76" s="716"/>
      <c r="AB76" s="716"/>
      <c r="AC76" s="716"/>
      <c r="AD76" s="716"/>
      <c r="AE76" s="716"/>
      <c r="AF76" s="716"/>
      <c r="AG76" s="149"/>
      <c r="AH76" s="716"/>
      <c r="AI76" s="716"/>
      <c r="AJ76" s="214" t="s">
        <v>6</v>
      </c>
      <c r="AK76" s="236">
        <f>((+AD79-AA79)/$AD$73)*24</f>
        <v>365954</v>
      </c>
      <c r="AL76" s="236">
        <f>+AK76</f>
        <v>365954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-34870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716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16"/>
      <c r="AI77" s="78"/>
      <c r="AJ77" s="214" t="s">
        <v>8</v>
      </c>
      <c r="AK77" s="236">
        <f>((+AD80-AA80)/$AD$73)*24</f>
        <v>54700</v>
      </c>
      <c r="AL77" s="236">
        <f>AK77</f>
        <v>54700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-34870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/>
      <c r="AA78" s="225"/>
      <c r="AB78" s="226">
        <f t="shared" ref="AB78:AC80" si="23">+Z58</f>
        <v>33523</v>
      </c>
      <c r="AC78" s="226">
        <f t="shared" si="23"/>
        <v>35060</v>
      </c>
      <c r="AD78" s="226">
        <f>+AB78+AC78+AB58+AC58</f>
        <v>68583</v>
      </c>
      <c r="AE78" s="519">
        <f>+((AD58/24)*$AD$73)+AA78</f>
        <v>68583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489237</v>
      </c>
      <c r="AL78" s="231">
        <f>+SUM(AL75:AL77)</f>
        <v>489237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-34870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/>
      <c r="AA79" s="225"/>
      <c r="AB79" s="226">
        <f t="shared" si="23"/>
        <v>176850</v>
      </c>
      <c r="AC79" s="226">
        <f t="shared" si="23"/>
        <v>189104</v>
      </c>
      <c r="AD79" s="226">
        <f>+AB79+AC79+AB59</f>
        <v>365954</v>
      </c>
      <c r="AE79" s="519">
        <f>+((AD59/24)*$AD$73)+AA79</f>
        <v>365954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f>Z10</f>
        <v>489239</v>
      </c>
      <c r="AL79" s="481">
        <f>AK79-AK78</f>
        <v>2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-34870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/>
      <c r="AA80" s="225"/>
      <c r="AB80" s="226">
        <f t="shared" si="23"/>
        <v>0</v>
      </c>
      <c r="AC80" s="226">
        <f t="shared" si="23"/>
        <v>54700</v>
      </c>
      <c r="AD80" s="226">
        <f>+AB80+AC80</f>
        <v>54700</v>
      </c>
      <c r="AE80" s="519">
        <f>+((AD60/24)*$AD$73)+AA80</f>
        <v>54700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-34870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0</v>
      </c>
      <c r="AA81" s="230">
        <f t="shared" si="24"/>
        <v>0</v>
      </c>
      <c r="AB81" s="229">
        <f t="shared" si="24"/>
        <v>210373</v>
      </c>
      <c r="AC81" s="229">
        <f t="shared" si="24"/>
        <v>278864</v>
      </c>
      <c r="AD81" s="229">
        <f t="shared" si="24"/>
        <v>489237</v>
      </c>
      <c r="AE81" s="229">
        <f t="shared" si="24"/>
        <v>489237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-34870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-34870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-34870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-34870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-34870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-34870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-34870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-34870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-34870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-34870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-34870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699">
        <f>(SUMIF($D$2:$D$57,"domiciliario",$I$2:$I$103))/1000</f>
        <v>30.254999999999999</v>
      </c>
      <c r="AB92" s="700">
        <f>(SUMIF($D$2:$D$57,"domiciliario",$T$2:$T$103))/1000</f>
        <v>30.254999999999999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-34870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-34870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701">
        <f>(SUMIF($D$2:$D$57,"gnv",$I$2:$I$103))/1000</f>
        <v>0.32500000000000001</v>
      </c>
      <c r="AB94" s="702">
        <f>(SUMIF($D$2:$D$57,"gnv",$T$2:$T$103))/1000</f>
        <v>0.32500000000000001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-34870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2.9430000000000001</v>
      </c>
      <c r="AB95" s="702">
        <f>(SUMIF($D$2:$D$57,"termico",$T$2:$T$103)+SUMIF($D$2:$D$57,"electrico",$T$2:$T$103)+SUMIF($D$2:$D$57,"térmico",$T$2:$T$103))/1000</f>
        <v>2.9430000000000001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-34870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-34870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705">
        <f>(SUMIF($D$2:$D$57,"domiciliario",$H$2:$H$103))/1000</f>
        <v>32.145000000000003</v>
      </c>
      <c r="AB97" s="706">
        <f>(SUMIF($D$2:$D$57,"domiciliario",$S$2:$S$103))/1000</f>
        <v>32.145000000000003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-34870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707">
        <f>(SUMIF($D$2:$D$57,"industrial",$H$2:$H$103))/1000</f>
        <v>35.174999999999997</v>
      </c>
      <c r="AB98" s="708">
        <f>(SUMIF($D$2:$D$57,"industrial",$S$2:$S$103))/1000</f>
        <v>34.704999999999998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-34870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-34870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110</v>
      </c>
      <c r="AB100" s="708">
        <f>(SUMIF($D$2:$D$57,"termico",$S$2:$S$103)+SUMIF($D$2:$D$57,"electrico",$S$2:$S$103)+SUMIF($D$2:$D$57,"térmico",$S$2:$S$103))/1000</f>
        <v>110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-34870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-34870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0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-34870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177320</v>
      </c>
      <c r="I105" s="252">
        <f>+SUM(I2:I103)</f>
        <v>33523</v>
      </c>
      <c r="J105" s="252">
        <f>+SUM(J2:J103)</f>
        <v>34400</v>
      </c>
      <c r="K105" s="252">
        <f>SUM(K2:K103)</f>
        <v>245243</v>
      </c>
      <c r="L105" s="253">
        <f>+L103</f>
        <v>-34870</v>
      </c>
      <c r="M105" s="252">
        <f>SUM(M2:M103)</f>
        <v>0</v>
      </c>
      <c r="N105" s="252">
        <f>SUM(N2:N103)</f>
        <v>245243</v>
      </c>
      <c r="O105" s="252"/>
      <c r="P105" s="252">
        <f>SUM(P2:P103)</f>
        <v>0</v>
      </c>
      <c r="Q105" s="252">
        <f>SUM(Q2:Q103)</f>
        <v>0</v>
      </c>
      <c r="R105" s="252">
        <f>SUM(R2:R103)</f>
        <v>-34870</v>
      </c>
      <c r="S105" s="252">
        <f>SUM(S2:S103)</f>
        <v>176850</v>
      </c>
      <c r="T105" s="252">
        <f>+SUM(T2:T103)</f>
        <v>33523</v>
      </c>
      <c r="U105" s="252">
        <f>SUM(U2:U103)</f>
        <v>0</v>
      </c>
      <c r="V105" s="252">
        <f>SUM(V2:V103)</f>
        <v>210373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224743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17411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94" priority="3" operator="lessThan">
      <formula>$AA$78</formula>
    </cfRule>
    <cfRule type="cellIs" dxfId="93" priority="5" operator="greaterThan">
      <formula>$AE$78</formula>
    </cfRule>
  </conditionalFormatting>
  <conditionalFormatting sqref="AA79">
    <cfRule type="cellIs" dxfId="92" priority="4" operator="greaterThan">
      <formula>$AE$79</formula>
    </cfRule>
  </conditionalFormatting>
  <conditionalFormatting sqref="AA80">
    <cfRule type="cellIs" dxfId="91" priority="2" operator="greaterThan">
      <formula>$AE$79</formula>
    </cfRule>
  </conditionalFormatting>
  <conditionalFormatting sqref="AU4:AU23">
    <cfRule type="cellIs" dxfId="9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:AX186"/>
  <sheetViews>
    <sheetView topLeftCell="N31" zoomScale="80" zoomScaleNormal="80" workbookViewId="0">
      <selection activeCell="W64" sqref="W64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207373</v>
      </c>
      <c r="M2" s="29"/>
      <c r="N2" s="798">
        <f>SUM(K2:K26)</f>
        <v>218500</v>
      </c>
      <c r="O2" s="30">
        <f>+K2/$N$2</f>
        <v>1.3729977116704805E-2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207373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19" t="s">
        <v>31</v>
      </c>
      <c r="AE2" s="719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206273</v>
      </c>
      <c r="M3" s="29"/>
      <c r="N3" s="799"/>
      <c r="O3" s="30">
        <f t="shared" ref="O3:O29" si="2">+K3/$N$2</f>
        <v>5.0343249427917619E-3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206273</v>
      </c>
      <c r="X3" s="32">
        <f t="shared" ref="X3:X56" si="9">W3-L3</f>
        <v>0</v>
      </c>
      <c r="Y3" s="37" t="s">
        <v>34</v>
      </c>
      <c r="Z3" s="38">
        <f>ROUND((Z13*57%),0)</f>
        <v>279642</v>
      </c>
      <c r="AA3" s="39">
        <f>ROUND((+Z14*0.57),0)</f>
        <v>278866</v>
      </c>
      <c r="AB3" s="454">
        <v>35060</v>
      </c>
      <c r="AC3" s="455">
        <v>189104</v>
      </c>
      <c r="AD3" s="40">
        <v>54700</v>
      </c>
      <c r="AE3" s="41">
        <f>SUM(AB3:AD3)</f>
        <v>278864</v>
      </c>
      <c r="AF3" s="41">
        <f>AA3-AE3</f>
        <v>2</v>
      </c>
      <c r="AG3" s="641">
        <f>AA3-AB3-AC3-AD3</f>
        <v>2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14600</v>
      </c>
      <c r="J4" s="26"/>
      <c r="K4" s="27">
        <f t="shared" si="0"/>
        <v>14600</v>
      </c>
      <c r="L4" s="28">
        <f t="shared" si="1"/>
        <v>191673</v>
      </c>
      <c r="M4" s="29"/>
      <c r="N4" s="799"/>
      <c r="O4" s="30">
        <f t="shared" si="2"/>
        <v>6.6819221967963388E-2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14600</v>
      </c>
      <c r="U4" s="28">
        <f t="shared" si="6"/>
        <v>0</v>
      </c>
      <c r="V4" s="28">
        <f t="shared" si="7"/>
        <v>14600</v>
      </c>
      <c r="W4" s="31">
        <f t="shared" si="8"/>
        <v>191673</v>
      </c>
      <c r="X4" s="32">
        <f t="shared" si="9"/>
        <v>0</v>
      </c>
      <c r="Y4" s="37" t="s">
        <v>38</v>
      </c>
      <c r="Z4" s="38">
        <f>ROUND((Z13*43%),0)</f>
        <v>210958</v>
      </c>
      <c r="AA4" s="39">
        <f>ROUND((+Z14*0.43),0)</f>
        <v>210373</v>
      </c>
      <c r="AB4" s="43">
        <f>T105</f>
        <v>22780</v>
      </c>
      <c r="AC4" s="43">
        <f>S105</f>
        <v>184650</v>
      </c>
      <c r="AD4" s="40">
        <f>U105</f>
        <v>2943</v>
      </c>
      <c r="AE4" s="41">
        <f>SUM(AB4:AD4)</f>
        <v>210373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190473</v>
      </c>
      <c r="M5" s="29"/>
      <c r="N5" s="799"/>
      <c r="O5" s="30">
        <f t="shared" si="2"/>
        <v>5.491990846681922E-3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190473</v>
      </c>
      <c r="X5" s="32">
        <f t="shared" si="9"/>
        <v>0</v>
      </c>
      <c r="Y5" s="44" t="s">
        <v>41</v>
      </c>
      <c r="Z5" s="38">
        <f>SUM(Z3:Z4)</f>
        <v>490600</v>
      </c>
      <c r="AA5" s="45">
        <f>SUM(AA3:AA4)</f>
        <v>489239</v>
      </c>
      <c r="AB5" s="46">
        <f>SUM(AB3:AB4)</f>
        <v>57840</v>
      </c>
      <c r="AC5" s="41">
        <f>SUM(AC3:AC4)</f>
        <v>373754</v>
      </c>
      <c r="AD5" s="40">
        <f>SUM(AD3:AD4)</f>
        <v>57643</v>
      </c>
      <c r="AE5" s="41">
        <f>SUM(AB5:AD5)</f>
        <v>489237</v>
      </c>
      <c r="AF5" s="47">
        <f>SUM(AF3:AF4)</f>
        <v>2</v>
      </c>
      <c r="AG5" s="642">
        <f>SUM(AG3:AG4)</f>
        <v>2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178473</v>
      </c>
      <c r="M6" s="29"/>
      <c r="N6" s="799"/>
      <c r="O6" s="30">
        <f t="shared" si="2"/>
        <v>5.4919908466819219E-2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178473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12036+1796</f>
        <v>13832</v>
      </c>
      <c r="I7" s="518">
        <f>2764+800+604</f>
        <v>4168</v>
      </c>
      <c r="J7" s="26"/>
      <c r="K7" s="27">
        <f t="shared" si="0"/>
        <v>18000</v>
      </c>
      <c r="L7" s="28">
        <f t="shared" si="1"/>
        <v>160473</v>
      </c>
      <c r="M7" s="29"/>
      <c r="N7" s="799"/>
      <c r="O7" s="30">
        <f t="shared" si="2"/>
        <v>8.2379862700228831E-2</v>
      </c>
      <c r="P7" s="802"/>
      <c r="Q7" s="31">
        <f t="shared" si="3"/>
        <v>0</v>
      </c>
      <c r="R7" s="31"/>
      <c r="S7" s="28">
        <f t="shared" si="4"/>
        <v>13832</v>
      </c>
      <c r="T7" s="28">
        <f t="shared" si="5"/>
        <v>4168</v>
      </c>
      <c r="U7" s="28">
        <f t="shared" si="6"/>
        <v>0</v>
      </c>
      <c r="V7" s="28">
        <f t="shared" si="7"/>
        <v>18000</v>
      </c>
      <c r="W7" s="31">
        <f t="shared" si="8"/>
        <v>160473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9100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157973</v>
      </c>
      <c r="M8" s="29"/>
      <c r="N8" s="799"/>
      <c r="O8" s="30">
        <f t="shared" si="2"/>
        <v>1.1441647597254004E-2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157973</v>
      </c>
      <c r="X8" s="32">
        <f t="shared" si="9"/>
        <v>0</v>
      </c>
      <c r="Y8" s="14" t="s">
        <v>47</v>
      </c>
      <c r="Z8" s="54">
        <v>41929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813</v>
      </c>
      <c r="I9" s="518">
        <v>1387</v>
      </c>
      <c r="J9" s="26"/>
      <c r="K9" s="27">
        <f t="shared" si="0"/>
        <v>2200</v>
      </c>
      <c r="L9" s="28">
        <f t="shared" si="1"/>
        <v>155773</v>
      </c>
      <c r="M9" s="29"/>
      <c r="N9" s="799"/>
      <c r="O9" s="30">
        <f t="shared" si="2"/>
        <v>1.0068649885583524E-2</v>
      </c>
      <c r="P9" s="802"/>
      <c r="Q9" s="31">
        <f t="shared" si="3"/>
        <v>0</v>
      </c>
      <c r="R9" s="31"/>
      <c r="S9" s="28">
        <f t="shared" si="4"/>
        <v>813</v>
      </c>
      <c r="T9" s="28">
        <f t="shared" si="5"/>
        <v>1387</v>
      </c>
      <c r="U9" s="28">
        <f t="shared" si="6"/>
        <v>0</v>
      </c>
      <c r="V9" s="28">
        <f t="shared" si="7"/>
        <v>2200</v>
      </c>
      <c r="W9" s="31">
        <f t="shared" si="8"/>
        <v>155773</v>
      </c>
      <c r="X9" s="32">
        <f t="shared" si="9"/>
        <v>0</v>
      </c>
      <c r="Y9" s="14" t="s">
        <v>189</v>
      </c>
      <c r="Z9" s="58">
        <v>490600</v>
      </c>
      <c r="AA9" s="59">
        <f>Z9*14.65/14.73</f>
        <v>487935.50577053631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26">
        <v>0</v>
      </c>
      <c r="J10" s="26"/>
      <c r="K10" s="27">
        <f t="shared" si="0"/>
        <v>20000</v>
      </c>
      <c r="L10" s="28">
        <f t="shared" si="1"/>
        <v>135773</v>
      </c>
      <c r="M10" s="29"/>
      <c r="N10" s="799"/>
      <c r="O10" s="30">
        <f t="shared" si="2"/>
        <v>9.1533180778032033E-2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135773</v>
      </c>
      <c r="X10" s="32">
        <f t="shared" si="9"/>
        <v>0</v>
      </c>
      <c r="Y10" s="14" t="s">
        <v>191</v>
      </c>
      <c r="Z10" s="58">
        <f>ROUND((Z9*Z30),0)</f>
        <v>489239</v>
      </c>
      <c r="AA10" s="59">
        <f>Z10*14.65/14.73</f>
        <v>486581.89748811949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117773</v>
      </c>
      <c r="M11" s="29"/>
      <c r="N11" s="799"/>
      <c r="O11" s="30">
        <f t="shared" si="2"/>
        <v>8.2379862700228831E-2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117773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114173</v>
      </c>
      <c r="M12" s="29"/>
      <c r="N12" s="799"/>
      <c r="O12" s="30">
        <f t="shared" si="2"/>
        <v>1.6475972540045767E-2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114173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>
        <v>0</v>
      </c>
      <c r="J13" s="26"/>
      <c r="K13" s="27">
        <f t="shared" si="0"/>
        <v>6000</v>
      </c>
      <c r="L13" s="28">
        <f t="shared" si="1"/>
        <v>108173</v>
      </c>
      <c r="M13" s="29"/>
      <c r="N13" s="799"/>
      <c r="O13" s="30">
        <f t="shared" si="2"/>
        <v>2.7459954233409609E-2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108173</v>
      </c>
      <c r="X13" s="32">
        <f t="shared" si="9"/>
        <v>0</v>
      </c>
      <c r="Y13" s="14" t="s">
        <v>67</v>
      </c>
      <c r="Z13" s="67">
        <f>Z14/Z30</f>
        <v>490599.88192352676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17200</v>
      </c>
      <c r="I14" s="26">
        <v>0</v>
      </c>
      <c r="J14" s="26"/>
      <c r="K14" s="27">
        <f t="shared" si="0"/>
        <v>17200</v>
      </c>
      <c r="L14" s="28">
        <f t="shared" si="1"/>
        <v>90973</v>
      </c>
      <c r="M14" s="29"/>
      <c r="N14" s="799"/>
      <c r="O14" s="30">
        <f t="shared" si="2"/>
        <v>7.8718535469107551E-2</v>
      </c>
      <c r="P14" s="802"/>
      <c r="Q14" s="31">
        <f t="shared" si="3"/>
        <v>0</v>
      </c>
      <c r="R14" s="31">
        <v>0</v>
      </c>
      <c r="S14" s="28">
        <f t="shared" si="4"/>
        <v>17200</v>
      </c>
      <c r="T14" s="28">
        <f t="shared" si="5"/>
        <v>0</v>
      </c>
      <c r="U14" s="28">
        <f t="shared" si="6"/>
        <v>0</v>
      </c>
      <c r="V14" s="28">
        <f t="shared" si="7"/>
        <v>17200</v>
      </c>
      <c r="W14" s="31">
        <f t="shared" si="8"/>
        <v>90973</v>
      </c>
      <c r="X14" s="32">
        <f t="shared" si="9"/>
        <v>0</v>
      </c>
      <c r="Y14" s="14" t="s">
        <v>70</v>
      </c>
      <c r="Z14" s="67">
        <f>+Z10-(Z11+Z12)</f>
        <v>489239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73773</v>
      </c>
      <c r="M15" s="29"/>
      <c r="N15" s="799"/>
      <c r="O15" s="30">
        <f t="shared" si="2"/>
        <v>7.8718535469107551E-2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73773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53273</v>
      </c>
      <c r="M16" s="29"/>
      <c r="N16" s="799"/>
      <c r="O16" s="30">
        <f t="shared" si="2"/>
        <v>9.3821510297482841E-2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53273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3500</v>
      </c>
      <c r="I17" s="26"/>
      <c r="J17" s="26"/>
      <c r="K17" s="27">
        <f t="shared" si="0"/>
        <v>3500</v>
      </c>
      <c r="L17" s="28">
        <f t="shared" si="1"/>
        <v>49773</v>
      </c>
      <c r="M17" s="29"/>
      <c r="N17" s="799"/>
      <c r="O17" s="30">
        <f t="shared" si="2"/>
        <v>1.6018306636155607E-2</v>
      </c>
      <c r="P17" s="802"/>
      <c r="Q17" s="31">
        <f t="shared" si="3"/>
        <v>0</v>
      </c>
      <c r="R17" s="31">
        <v>0</v>
      </c>
      <c r="S17" s="28">
        <f t="shared" si="4"/>
        <v>3500</v>
      </c>
      <c r="T17" s="28">
        <f t="shared" si="5"/>
        <v>0</v>
      </c>
      <c r="U17" s="28">
        <f t="shared" si="6"/>
        <v>0</v>
      </c>
      <c r="V17" s="28">
        <f t="shared" si="7"/>
        <v>3500</v>
      </c>
      <c r="W17" s="31">
        <f t="shared" si="8"/>
        <v>49773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325</v>
      </c>
      <c r="J18" s="26"/>
      <c r="K18" s="27">
        <f t="shared" si="0"/>
        <v>325</v>
      </c>
      <c r="L18" s="28">
        <f t="shared" si="1"/>
        <v>49448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325</v>
      </c>
      <c r="U18" s="28">
        <f t="shared" si="6"/>
        <v>0</v>
      </c>
      <c r="V18" s="28">
        <f t="shared" si="7"/>
        <v>325</v>
      </c>
      <c r="W18" s="31">
        <f t="shared" si="8"/>
        <v>49448</v>
      </c>
      <c r="X18" s="32"/>
      <c r="Y18" s="14" t="s">
        <v>77</v>
      </c>
      <c r="Z18" s="71">
        <f>ROUND(Z14*0.43,0)</f>
        <v>210373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2175</v>
      </c>
      <c r="I19" s="26"/>
      <c r="J19" s="26"/>
      <c r="K19" s="27">
        <f t="shared" si="0"/>
        <v>2175</v>
      </c>
      <c r="L19" s="28">
        <f t="shared" si="1"/>
        <v>47273</v>
      </c>
      <c r="M19" s="29"/>
      <c r="N19" s="799"/>
      <c r="O19" s="30">
        <f t="shared" si="2"/>
        <v>9.9542334096109839E-3</v>
      </c>
      <c r="P19" s="802"/>
      <c r="Q19" s="31">
        <f t="shared" si="3"/>
        <v>0</v>
      </c>
      <c r="R19" s="31">
        <v>0</v>
      </c>
      <c r="S19" s="28">
        <f t="shared" si="4"/>
        <v>2175</v>
      </c>
      <c r="T19" s="28">
        <f t="shared" si="5"/>
        <v>0</v>
      </c>
      <c r="U19" s="28">
        <f t="shared" si="6"/>
        <v>0</v>
      </c>
      <c r="V19" s="28">
        <f t="shared" si="7"/>
        <v>2175</v>
      </c>
      <c r="W19" s="31">
        <f t="shared" si="8"/>
        <v>47273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45773</v>
      </c>
      <c r="M20" s="29"/>
      <c r="N20" s="799"/>
      <c r="O20" s="30">
        <f t="shared" si="2"/>
        <v>6.8649885583524023E-3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45773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45773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45773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38273</v>
      </c>
      <c r="M22" s="29"/>
      <c r="N22" s="799"/>
      <c r="O22" s="30">
        <f t="shared" si="2"/>
        <v>3.4324942791762014E-2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38273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38273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38273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38273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38273</v>
      </c>
      <c r="X24" s="32">
        <f t="shared" si="9"/>
        <v>0</v>
      </c>
      <c r="Y24" s="74" t="s">
        <v>169</v>
      </c>
      <c r="Z24" s="680">
        <f>+Z18+Z19</f>
        <v>210373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26273</v>
      </c>
      <c r="M25" s="29"/>
      <c r="N25" s="799"/>
      <c r="O25" s="30">
        <f t="shared" si="2"/>
        <v>5.4919908466819219E-2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26273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-8127</v>
      </c>
      <c r="M26" s="86"/>
      <c r="N26" s="800"/>
      <c r="O26" s="87">
        <f t="shared" si="2"/>
        <v>0.1574370709382151</v>
      </c>
      <c r="P26" s="803"/>
      <c r="Q26" s="144">
        <f t="shared" si="3"/>
        <v>0</v>
      </c>
      <c r="R26" s="144">
        <f>-34400+2943</f>
        <v>-31457</v>
      </c>
      <c r="S26" s="423">
        <f t="shared" si="4"/>
        <v>0</v>
      </c>
      <c r="T26" s="423">
        <f t="shared" si="5"/>
        <v>0</v>
      </c>
      <c r="U26" s="423">
        <f t="shared" si="6"/>
        <v>2943</v>
      </c>
      <c r="V26" s="423">
        <f t="shared" si="7"/>
        <v>2943</v>
      </c>
      <c r="W26" s="144">
        <f t="shared" si="8"/>
        <v>23330</v>
      </c>
      <c r="X26" s="32">
        <f t="shared" si="9"/>
        <v>31457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-8127</v>
      </c>
      <c r="M27" s="95"/>
      <c r="N27" s="804">
        <f>SUM(K27:K49)</f>
        <v>17800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23330</v>
      </c>
      <c r="X27" s="32">
        <f t="shared" si="9"/>
        <v>31457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-8127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23330</v>
      </c>
      <c r="X28" s="32">
        <f t="shared" si="9"/>
        <v>31457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-8127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23330</v>
      </c>
      <c r="X29" s="32">
        <f t="shared" si="9"/>
        <v>31457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-8127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23330</v>
      </c>
      <c r="X30" s="32">
        <f t="shared" si="9"/>
        <v>31457</v>
      </c>
      <c r="Y30" s="74" t="s">
        <v>89</v>
      </c>
      <c r="Z30" s="682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-8127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23330</v>
      </c>
      <c r="X31" s="32">
        <f t="shared" si="9"/>
        <v>31457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-8127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23330</v>
      </c>
      <c r="X32" s="32">
        <f t="shared" si="9"/>
        <v>31457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-8127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23330</v>
      </c>
      <c r="X33" s="32">
        <f t="shared" si="9"/>
        <v>31457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-8127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23330</v>
      </c>
      <c r="X34" s="32">
        <f t="shared" si="9"/>
        <v>31457</v>
      </c>
      <c r="Y34" s="806"/>
      <c r="Z34" s="112">
        <v>80000</v>
      </c>
      <c r="AA34" s="113">
        <f>AD5-Z34</f>
        <v>-22357</v>
      </c>
      <c r="AB34" s="113">
        <f>Z34+AA34</f>
        <v>57643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-8127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23330</v>
      </c>
      <c r="X35" s="32">
        <f>W35-L35</f>
        <v>31457</v>
      </c>
      <c r="Y35" s="117" t="s">
        <v>56</v>
      </c>
      <c r="Z35" s="113">
        <f>Z34*43%</f>
        <v>34400</v>
      </c>
      <c r="AA35" s="113">
        <f>AD4-Z35</f>
        <v>-31457</v>
      </c>
      <c r="AB35" s="113">
        <f>Z35+AA35</f>
        <v>2943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-8127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23330</v>
      </c>
      <c r="X36" s="32">
        <f t="shared" si="9"/>
        <v>31457</v>
      </c>
      <c r="Y36" s="117" t="s">
        <v>60</v>
      </c>
      <c r="Z36" s="113">
        <f>Z34*57%</f>
        <v>45599.999999999993</v>
      </c>
      <c r="AA36" s="113">
        <f>AD3-Z36</f>
        <v>9100.0000000000073</v>
      </c>
      <c r="AB36" s="113">
        <f>Z36+AA36</f>
        <v>54700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-8127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23330</v>
      </c>
      <c r="X37" s="32">
        <f t="shared" si="9"/>
        <v>31457</v>
      </c>
      <c r="Y37" s="117" t="s">
        <v>94</v>
      </c>
      <c r="Z37" s="113">
        <f>+Z35+Z36</f>
        <v>80000</v>
      </c>
      <c r="AA37" s="113">
        <f>SUM(AA35:AA36)</f>
        <v>-22356.999999999993</v>
      </c>
      <c r="AB37" s="113">
        <f>Z37+AA37</f>
        <v>57643.000000000007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7800</v>
      </c>
      <c r="I38" s="26"/>
      <c r="J38" s="26"/>
      <c r="K38" s="27">
        <f t="shared" si="0"/>
        <v>7800</v>
      </c>
      <c r="L38" s="28">
        <f>+L37-K38</f>
        <v>-15927</v>
      </c>
      <c r="M38" s="29"/>
      <c r="N38" s="799"/>
      <c r="O38" s="30">
        <f t="shared" si="10"/>
        <v>0.43820224719101125</v>
      </c>
      <c r="P38" s="802"/>
      <c r="Q38" s="31">
        <f t="shared" si="11"/>
        <v>0</v>
      </c>
      <c r="R38" s="31"/>
      <c r="S38" s="28">
        <f t="shared" si="4"/>
        <v>7800</v>
      </c>
      <c r="T38" s="28">
        <f t="shared" si="5"/>
        <v>0</v>
      </c>
      <c r="U38" s="28">
        <f t="shared" si="6"/>
        <v>0</v>
      </c>
      <c r="V38" s="28">
        <f t="shared" si="7"/>
        <v>7800</v>
      </c>
      <c r="W38" s="31">
        <f t="shared" si="8"/>
        <v>15530</v>
      </c>
      <c r="X38" s="32">
        <f t="shared" si="9"/>
        <v>31457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-15927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15530</v>
      </c>
      <c r="X39" s="32">
        <f t="shared" si="9"/>
        <v>31457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-15927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15530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-15927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15530</v>
      </c>
      <c r="X41" s="32">
        <f t="shared" si="9"/>
        <v>31457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-15927</v>
      </c>
      <c r="M42" s="29"/>
      <c r="N42" s="799"/>
      <c r="O42" s="30">
        <f t="shared" si="10"/>
        <v>0</v>
      </c>
      <c r="P42" s="802"/>
      <c r="Q42" s="31">
        <f t="shared" si="11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8"/>
        <v>15530</v>
      </c>
      <c r="X42" s="32">
        <f t="shared" si="9"/>
        <v>31457</v>
      </c>
      <c r="Y42" s="74" t="s">
        <v>96</v>
      </c>
      <c r="Z42" s="75">
        <v>35500</v>
      </c>
      <c r="AA42" s="129">
        <f>+H7+H8+H17+H18+H19+H22+H32+H33+H43+H44+H45+H53</f>
        <v>30507</v>
      </c>
      <c r="AB42" s="129">
        <f>+I7+I8+I17+I18+I19+I22+I32+I33+I43+I44+I45+I53</f>
        <v>4493</v>
      </c>
      <c r="AC42" s="130">
        <f>+AA42+AB42</f>
        <v>35000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-15927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15530</v>
      </c>
      <c r="X43" s="32">
        <f t="shared" si="9"/>
        <v>31457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-15927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15530</v>
      </c>
      <c r="X44" s="32">
        <f t="shared" si="9"/>
        <v>31457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-15927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15530</v>
      </c>
      <c r="X45" s="32">
        <f t="shared" si="9"/>
        <v>31457</v>
      </c>
      <c r="Y45" s="131" t="s">
        <v>98</v>
      </c>
      <c r="Z45" s="132">
        <v>9600</v>
      </c>
      <c r="AA45" s="133">
        <f>+H12+H13+H37+H38</f>
        <v>17400</v>
      </c>
      <c r="AB45" s="133">
        <f>+I12+I13+I37+I38</f>
        <v>0</v>
      </c>
      <c r="AC45" s="133">
        <f>+AA45+AB45</f>
        <v>17400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-25927</v>
      </c>
      <c r="M46" s="29"/>
      <c r="N46" s="799"/>
      <c r="O46" s="30">
        <f t="shared" si="10"/>
        <v>0.5617977528089888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5530</v>
      </c>
      <c r="X46" s="32">
        <f t="shared" si="9"/>
        <v>31457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-25927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5530</v>
      </c>
      <c r="X47" s="32">
        <f t="shared" si="9"/>
        <v>31457</v>
      </c>
      <c r="Y47" s="57">
        <v>20000</v>
      </c>
      <c r="Z47" s="89">
        <v>4586</v>
      </c>
      <c r="AA47" s="35"/>
      <c r="AB47" s="57">
        <f>57000-AA60</f>
        <v>2300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-25927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5530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-25927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5530</v>
      </c>
      <c r="X49" s="32">
        <f t="shared" si="9"/>
        <v>31457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-25927</v>
      </c>
      <c r="M50" s="95"/>
      <c r="N50" s="804">
        <f>SUM(K50:K55)</f>
        <v>6000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5530</v>
      </c>
      <c r="X50" s="32">
        <f t="shared" si="9"/>
        <v>31457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518">
        <v>5000</v>
      </c>
      <c r="I51" s="518">
        <v>0</v>
      </c>
      <c r="J51" s="611"/>
      <c r="K51" s="27">
        <f t="shared" si="0"/>
        <v>5000</v>
      </c>
      <c r="L51" s="28">
        <f t="shared" si="1"/>
        <v>-30927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5000</v>
      </c>
      <c r="T51" s="28">
        <f t="shared" si="5"/>
        <v>0</v>
      </c>
      <c r="U51" s="28">
        <f t="shared" si="6"/>
        <v>0</v>
      </c>
      <c r="V51" s="28">
        <f t="shared" si="7"/>
        <v>5000</v>
      </c>
      <c r="W51" s="31">
        <f t="shared" si="8"/>
        <v>530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-30927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530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1000</v>
      </c>
      <c r="I53" s="26"/>
      <c r="J53" s="26"/>
      <c r="K53" s="27">
        <f t="shared" si="0"/>
        <v>1000</v>
      </c>
      <c r="L53" s="28">
        <f>+L52-K53</f>
        <v>-31927</v>
      </c>
      <c r="M53" s="29"/>
      <c r="N53" s="799"/>
      <c r="O53" s="30">
        <f t="shared" si="10"/>
        <v>5.6179775280898875E-2</v>
      </c>
      <c r="P53" s="802"/>
      <c r="Q53" s="97">
        <f t="shared" si="11"/>
        <v>0</v>
      </c>
      <c r="R53" s="31">
        <v>-470</v>
      </c>
      <c r="S53" s="28">
        <f t="shared" si="4"/>
        <v>530</v>
      </c>
      <c r="T53" s="28">
        <f t="shared" si="5"/>
        <v>0</v>
      </c>
      <c r="U53" s="28">
        <f t="shared" si="6"/>
        <v>0</v>
      </c>
      <c r="V53" s="28">
        <f t="shared" si="7"/>
        <v>530</v>
      </c>
      <c r="W53" s="31">
        <f t="shared" si="8"/>
        <v>0</v>
      </c>
      <c r="X53" s="32">
        <f t="shared" si="9"/>
        <v>31927</v>
      </c>
      <c r="Y53" s="80">
        <f>+Y52-15000</f>
        <v>-2513.5</v>
      </c>
      <c r="Z53" s="49">
        <f>+Z60-43000</f>
        <v>-40057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-31927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0</v>
      </c>
      <c r="X54" s="32">
        <f t="shared" si="9"/>
        <v>31927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-31927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0</v>
      </c>
      <c r="X55" s="119">
        <f t="shared" si="9"/>
        <v>31927</v>
      </c>
      <c r="Y55" s="807">
        <f>Z8</f>
        <v>41929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-31927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31927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-31927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53">
        <v>-7527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-31927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22780</v>
      </c>
      <c r="AA58" s="182">
        <f>+AB3</f>
        <v>35060</v>
      </c>
      <c r="AB58" s="182">
        <f>Z12</f>
        <v>0</v>
      </c>
      <c r="AC58" s="181">
        <f>AB10</f>
        <v>0</v>
      </c>
      <c r="AD58" s="661">
        <f>SUM(Z58:AC58)</f>
        <v>57840</v>
      </c>
      <c r="AE58" s="185">
        <v>68583</v>
      </c>
      <c r="AF58" s="17">
        <f>+AE58-AD58</f>
        <v>10743</v>
      </c>
      <c r="AH58" s="20">
        <v>15000</v>
      </c>
      <c r="AI58" s="50">
        <f>+AH58/$AH$60</f>
        <v>0.9375</v>
      </c>
      <c r="AJ58" s="50">
        <f>+$AJ$57*AI58</f>
        <v>-7056.5625</v>
      </c>
      <c r="AK58" s="722">
        <f>+AJ58+AH58</f>
        <v>7943.4375</v>
      </c>
      <c r="AL58" s="20">
        <v>5000</v>
      </c>
      <c r="AM58" s="50">
        <f>+AL58-AK58</f>
        <v>-2943.4375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-31927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184650</v>
      </c>
      <c r="AA59" s="182">
        <f>AC3</f>
        <v>189104</v>
      </c>
      <c r="AB59" s="182">
        <f>Z11</f>
        <v>0</v>
      </c>
      <c r="AC59" s="181">
        <v>0</v>
      </c>
      <c r="AD59" s="661">
        <f>SUM(Z59:AC59)</f>
        <v>373754</v>
      </c>
      <c r="AE59" s="185">
        <v>365954</v>
      </c>
      <c r="AF59" s="17">
        <f>+AE59-AD59</f>
        <v>-7800</v>
      </c>
      <c r="AG59" s="51"/>
      <c r="AH59" s="19">
        <v>1000</v>
      </c>
      <c r="AI59" s="50">
        <f>+AH59/$AH$60</f>
        <v>6.25E-2</v>
      </c>
      <c r="AJ59" s="50">
        <f>+$AJ$57*AI59</f>
        <v>-470.4375</v>
      </c>
      <c r="AK59" s="722">
        <f>+AJ59+AH59</f>
        <v>529.5625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-31927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2943</v>
      </c>
      <c r="AA60" s="182">
        <f>+AD3+AH10</f>
        <v>54700</v>
      </c>
      <c r="AB60" s="191">
        <v>0</v>
      </c>
      <c r="AC60" s="181">
        <v>0</v>
      </c>
      <c r="AD60" s="662">
        <f>SUM(Z60:AC60)</f>
        <v>57643</v>
      </c>
      <c r="AE60" s="185">
        <v>54700</v>
      </c>
      <c r="AF60" s="17">
        <f>+AE60-AD60</f>
        <v>-2943</v>
      </c>
      <c r="AG60" s="20"/>
      <c r="AH60" s="53">
        <f>SUM(AH58:AH59)</f>
        <v>16000</v>
      </c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-31927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210373</v>
      </c>
      <c r="AA61" s="194">
        <f>SUM(AA58:AA60)</f>
        <v>278864</v>
      </c>
      <c r="AB61" s="194">
        <f>SUM(AB58:AB60)</f>
        <v>0</v>
      </c>
      <c r="AC61" s="194">
        <f>AB10</f>
        <v>0</v>
      </c>
      <c r="AD61" s="195">
        <f>SUM(AD58:AD60)</f>
        <v>489237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-31927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210957.67097600622</v>
      </c>
      <c r="AA62" s="200">
        <f>(AA58/$Z$28+(AA59/$Z$27)+(AA60/$Z$29))</f>
        <v>279646.04708426946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490603.71806027566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-31927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313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-31927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314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-31927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168193.43084000004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-31927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45548.790649999995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-31927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-31927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489239.11774893926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-31927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-31927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-31927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-31927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41929</v>
      </c>
      <c r="AA72" s="818" t="s">
        <v>118</v>
      </c>
      <c r="AB72" s="818"/>
      <c r="AC72" s="818"/>
      <c r="AD72" s="216">
        <v>10.5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-31927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10.5</v>
      </c>
      <c r="AA73" s="720" t="s">
        <v>120</v>
      </c>
      <c r="AB73" s="720"/>
      <c r="AC73" s="720"/>
      <c r="AD73" s="219">
        <f>24-AD72</f>
        <v>13.5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-31927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21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-31927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721" t="s">
        <v>121</v>
      </c>
      <c r="Z75" s="721" t="s">
        <v>122</v>
      </c>
      <c r="AA75" s="721" t="s">
        <v>123</v>
      </c>
      <c r="AB75" s="820" t="s">
        <v>124</v>
      </c>
      <c r="AC75" s="821"/>
      <c r="AD75" s="822"/>
      <c r="AE75" s="721" t="s">
        <v>125</v>
      </c>
      <c r="AF75" s="721" t="s">
        <v>126</v>
      </c>
      <c r="AG75" s="149"/>
      <c r="AH75" s="721" t="s">
        <v>121</v>
      </c>
      <c r="AI75" s="721"/>
      <c r="AJ75" s="214" t="s">
        <v>7</v>
      </c>
      <c r="AK75" s="236">
        <f>((+AD78-AA78)/$AD$73)*24</f>
        <v>46384</v>
      </c>
      <c r="AL75" s="236">
        <f>AK75</f>
        <v>46384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-31927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721"/>
      <c r="Z76" s="721"/>
      <c r="AA76" s="721"/>
      <c r="AB76" s="721"/>
      <c r="AC76" s="721"/>
      <c r="AD76" s="721"/>
      <c r="AE76" s="721"/>
      <c r="AF76" s="721"/>
      <c r="AG76" s="149"/>
      <c r="AH76" s="721"/>
      <c r="AI76" s="721"/>
      <c r="AJ76" s="214" t="s">
        <v>6</v>
      </c>
      <c r="AK76" s="236">
        <f>((+AD79-AA79)/$AD$73)*24</f>
        <v>377832.88888888888</v>
      </c>
      <c r="AL76" s="236">
        <f>+AK76</f>
        <v>377832.88888888888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-31927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721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21"/>
      <c r="AI77" s="78"/>
      <c r="AJ77" s="214" t="s">
        <v>8</v>
      </c>
      <c r="AK77" s="236">
        <f>((+AD80-AA80)/$AD$73)*24</f>
        <v>55063.111111111109</v>
      </c>
      <c r="AL77" s="236">
        <f>AK77</f>
        <v>55063.111111111109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-31927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>
        <v>68583</v>
      </c>
      <c r="AA78" s="225">
        <v>31749</v>
      </c>
      <c r="AB78" s="226">
        <f t="shared" ref="AB78:AC80" si="23">+Z58</f>
        <v>22780</v>
      </c>
      <c r="AC78" s="226">
        <f t="shared" si="23"/>
        <v>35060</v>
      </c>
      <c r="AD78" s="226">
        <f>+AB78+AC78+AB58+AC58</f>
        <v>57840</v>
      </c>
      <c r="AE78" s="519">
        <f>+((AD58/24)*$AD$73)+AA78</f>
        <v>64284</v>
      </c>
      <c r="AF78" s="227">
        <f>+AE78-AD78</f>
        <v>6444</v>
      </c>
      <c r="AG78" s="212"/>
      <c r="AH78" s="214" t="s">
        <v>7</v>
      </c>
      <c r="AI78" s="446">
        <f>+AA78</f>
        <v>31749</v>
      </c>
      <c r="AK78" s="231">
        <f>+SUM(AK75:AK77)</f>
        <v>479280</v>
      </c>
      <c r="AL78" s="231">
        <f>+SUM(AL75:AL77)</f>
        <v>479280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-31927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>
        <v>365954</v>
      </c>
      <c r="AA79" s="225">
        <v>161223</v>
      </c>
      <c r="AB79" s="226">
        <f t="shared" si="23"/>
        <v>184650</v>
      </c>
      <c r="AC79" s="226">
        <f t="shared" si="23"/>
        <v>189104</v>
      </c>
      <c r="AD79" s="226">
        <f>+AB79+AC79+AB59</f>
        <v>373754</v>
      </c>
      <c r="AE79" s="519">
        <f>+((AD59/24)*$AD$73)+AA79</f>
        <v>371459.625</v>
      </c>
      <c r="AF79" s="227">
        <f>+AE79-AD79</f>
        <v>-2294.375</v>
      </c>
      <c r="AG79" s="212"/>
      <c r="AH79" s="214" t="s">
        <v>6</v>
      </c>
      <c r="AI79" s="446">
        <f>+AA79</f>
        <v>161223</v>
      </c>
      <c r="AJ79" s="53"/>
      <c r="AK79" s="481">
        <f>Z10</f>
        <v>489239</v>
      </c>
      <c r="AL79" s="481">
        <f>AK79-AK78</f>
        <v>9959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-31927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>
        <v>54700</v>
      </c>
      <c r="AA80" s="225">
        <v>26670</v>
      </c>
      <c r="AB80" s="226">
        <f t="shared" si="23"/>
        <v>2943</v>
      </c>
      <c r="AC80" s="226">
        <f t="shared" si="23"/>
        <v>54700</v>
      </c>
      <c r="AD80" s="226">
        <f>+AB80+AC80</f>
        <v>57643</v>
      </c>
      <c r="AE80" s="519">
        <f>+((AD60/24)*$AD$73)+AA80</f>
        <v>59094.1875</v>
      </c>
      <c r="AF80" s="227">
        <f>+AE80-AD80</f>
        <v>1451.1875</v>
      </c>
      <c r="AG80" s="149"/>
      <c r="AH80" s="214" t="s">
        <v>8</v>
      </c>
      <c r="AI80" s="447">
        <f>+AA80</f>
        <v>26670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-31927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489237</v>
      </c>
      <c r="AA81" s="230">
        <f t="shared" si="24"/>
        <v>219642</v>
      </c>
      <c r="AB81" s="229">
        <f t="shared" si="24"/>
        <v>210373</v>
      </c>
      <c r="AC81" s="229">
        <f t="shared" si="24"/>
        <v>278864</v>
      </c>
      <c r="AD81" s="229">
        <f t="shared" si="24"/>
        <v>489237</v>
      </c>
      <c r="AE81" s="229">
        <f t="shared" si="24"/>
        <v>494837.8125</v>
      </c>
      <c r="AF81" s="227">
        <f>+SUM(AF78:AF80)</f>
        <v>5600.8125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-31927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-31927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-31927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-31927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-31927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219642</v>
      </c>
      <c r="AB86" s="337">
        <f>AA87-AA86</f>
        <v>52547.729166666686</v>
      </c>
      <c r="AC86" s="42">
        <f>AB86*24/5.5</f>
        <v>229299.18181818191</v>
      </c>
      <c r="AD86" s="338">
        <f>AC86+353111</f>
        <v>582410.18181818188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-31927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133469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-31927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-31927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-31927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-31927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-31927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699">
        <f>(SUMIF($D$2:$D$57,"domiciliario",$I$2:$I$103))/1000</f>
        <v>22.454999999999998</v>
      </c>
      <c r="AB92" s="700">
        <f>(SUMIF($D$2:$D$57,"domiciliario",$T$2:$T$103))/1000</f>
        <v>22.454999999999998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-31927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-31927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701">
        <f>(SUMIF($D$2:$D$57,"gnv",$I$2:$I$103))/1000</f>
        <v>0.32500000000000001</v>
      </c>
      <c r="AB94" s="702">
        <f>(SUMIF($D$2:$D$57,"gnv",$T$2:$T$103))/1000</f>
        <v>0.32500000000000001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-31927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0</v>
      </c>
      <c r="AB95" s="702">
        <f>(SUMIF($D$2:$D$57,"termico",$T$2:$T$103)+SUMIF($D$2:$D$57,"electrico",$T$2:$T$103)+SUMIF($D$2:$D$57,"térmico",$T$2:$T$103))/1000</f>
        <v>0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-31927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-31927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705">
        <f>(SUMIF($D$2:$D$57,"domiciliario",$H$2:$H$103))/1000</f>
        <v>32.145000000000003</v>
      </c>
      <c r="AB97" s="706">
        <f>(SUMIF($D$2:$D$57,"domiciliario",$S$2:$S$103))/1000</f>
        <v>32.145000000000003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-31927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707">
        <f>(SUMIF($D$2:$D$57,"industrial",$H$2:$H$103))/1000</f>
        <v>35.174999999999997</v>
      </c>
      <c r="AB98" s="708">
        <f>(SUMIF($D$2:$D$57,"industrial",$S$2:$S$103))/1000</f>
        <v>34.704999999999998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-31927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-31927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117.8</v>
      </c>
      <c r="AB100" s="708">
        <f>(SUMIF($D$2:$D$57,"termico",$S$2:$S$103)+SUMIF($D$2:$D$57,"electrico",$S$2:$S$103)+SUMIF($D$2:$D$57,"térmico",$S$2:$S$103))/1000</f>
        <v>117.8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-31927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-31927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2.9430000000000001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-31927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185120</v>
      </c>
      <c r="I105" s="252">
        <f>+SUM(I2:I103)</f>
        <v>22780</v>
      </c>
      <c r="J105" s="252">
        <f>+SUM(J2:J103)</f>
        <v>34400</v>
      </c>
      <c r="K105" s="252">
        <f>SUM(K2:K103)</f>
        <v>242300</v>
      </c>
      <c r="L105" s="253">
        <f>+L103</f>
        <v>-31927</v>
      </c>
      <c r="M105" s="252">
        <f>SUM(M2:M103)</f>
        <v>0</v>
      </c>
      <c r="N105" s="252">
        <f>SUM(N2:N103)</f>
        <v>242300</v>
      </c>
      <c r="O105" s="252"/>
      <c r="P105" s="252">
        <f>SUM(P2:P103)</f>
        <v>0</v>
      </c>
      <c r="Q105" s="252">
        <f>SUM(Q2:Q103)</f>
        <v>0</v>
      </c>
      <c r="R105" s="252">
        <f>SUM(R2:R103)</f>
        <v>-31927</v>
      </c>
      <c r="S105" s="252">
        <f>SUM(S2:S103)</f>
        <v>184650</v>
      </c>
      <c r="T105" s="252">
        <f>+SUM(T2:T103)</f>
        <v>22780</v>
      </c>
      <c r="U105" s="252">
        <f>SUM(U2:U103)</f>
        <v>2943</v>
      </c>
      <c r="V105" s="252">
        <f>SUM(V2:V103)</f>
        <v>210373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221800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14468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</mergeCells>
  <conditionalFormatting sqref="AA78">
    <cfRule type="cellIs" dxfId="89" priority="3" operator="lessThan">
      <formula>$AA$78</formula>
    </cfRule>
    <cfRule type="cellIs" dxfId="88" priority="5" operator="greaterThan">
      <formula>$AE$78</formula>
    </cfRule>
  </conditionalFormatting>
  <conditionalFormatting sqref="AA79">
    <cfRule type="cellIs" dxfId="87" priority="4" operator="greaterThan">
      <formula>$AE$79</formula>
    </cfRule>
  </conditionalFormatting>
  <conditionalFormatting sqref="AA80">
    <cfRule type="cellIs" dxfId="86" priority="2" operator="greaterThan">
      <formula>$AE$79</formula>
    </cfRule>
  </conditionalFormatting>
  <conditionalFormatting sqref="AU4:AU23">
    <cfRule type="cellIs" dxfId="8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</sheetPr>
  <dimension ref="A1:AX186"/>
  <sheetViews>
    <sheetView topLeftCell="T37" zoomScale="80" zoomScaleNormal="80" workbookViewId="0">
      <selection activeCell="AD25" sqref="AD25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213290</v>
      </c>
      <c r="M2" s="29"/>
      <c r="N2" s="798">
        <f>SUM(K2:K26)</f>
        <v>208216</v>
      </c>
      <c r="O2" s="30">
        <f>+K2/$N$2</f>
        <v>1.4408114650170976E-2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213290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25" t="s">
        <v>31</v>
      </c>
      <c r="AE2" s="725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212190</v>
      </c>
      <c r="M3" s="29"/>
      <c r="N3" s="799"/>
      <c r="O3" s="30">
        <f t="shared" ref="O3:O29" si="2">+K3/$N$2</f>
        <v>5.2829753717293579E-3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212190</v>
      </c>
      <c r="X3" s="32">
        <f t="shared" ref="X3:X56" si="9">W3-L3</f>
        <v>0</v>
      </c>
      <c r="Y3" s="37" t="s">
        <v>34</v>
      </c>
      <c r="Z3" s="38">
        <f>ROUND((Z13*57%),0)</f>
        <v>287508</v>
      </c>
      <c r="AA3" s="39">
        <f>ROUND((+Z14*0.57),0)</f>
        <v>286711</v>
      </c>
      <c r="AB3" s="454">
        <v>59387</v>
      </c>
      <c r="AC3" s="455">
        <v>164908</v>
      </c>
      <c r="AD3" s="40">
        <f>59800-67</f>
        <v>59733</v>
      </c>
      <c r="AE3" s="41">
        <f>SUM(AB3:AD3)</f>
        <v>284028</v>
      </c>
      <c r="AF3" s="41">
        <f>AA3-AE3</f>
        <v>2683</v>
      </c>
      <c r="AG3" s="641">
        <f>AA3-AB3-AC3-AD3</f>
        <v>2683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1"/>
        <v>200997</v>
      </c>
      <c r="M4" s="29"/>
      <c r="N4" s="799"/>
      <c r="O4" s="30">
        <f t="shared" si="2"/>
        <v>5.375667575978791E-2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11193</v>
      </c>
      <c r="U4" s="28">
        <f t="shared" si="6"/>
        <v>0</v>
      </c>
      <c r="V4" s="28">
        <f t="shared" si="7"/>
        <v>11193</v>
      </c>
      <c r="W4" s="31">
        <f t="shared" si="8"/>
        <v>200997</v>
      </c>
      <c r="X4" s="32">
        <f t="shared" si="9"/>
        <v>0</v>
      </c>
      <c r="Y4" s="37" t="s">
        <v>38</v>
      </c>
      <c r="Z4" s="38">
        <f>ROUND((Z13*43%),0)</f>
        <v>216892</v>
      </c>
      <c r="AA4" s="39">
        <f>ROUND((+Z14*0.43),0)</f>
        <v>216290</v>
      </c>
      <c r="AB4" s="43">
        <f>T105</f>
        <v>27280</v>
      </c>
      <c r="AC4" s="43">
        <f>S105</f>
        <v>168743</v>
      </c>
      <c r="AD4" s="40">
        <f>U105</f>
        <v>20267</v>
      </c>
      <c r="AE4" s="41">
        <f>SUM(AB4:AD4)</f>
        <v>216290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199797</v>
      </c>
      <c r="M5" s="29"/>
      <c r="N5" s="799"/>
      <c r="O5" s="30">
        <f t="shared" si="2"/>
        <v>5.7632458600683908E-3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199797</v>
      </c>
      <c r="X5" s="32">
        <f t="shared" si="9"/>
        <v>0</v>
      </c>
      <c r="Y5" s="44" t="s">
        <v>41</v>
      </c>
      <c r="Z5" s="38">
        <f>SUM(Z3:Z4)</f>
        <v>504400</v>
      </c>
      <c r="AA5" s="45">
        <f>SUM(AA3:AA4)</f>
        <v>503001</v>
      </c>
      <c r="AB5" s="46">
        <f>SUM(AB3:AB4)</f>
        <v>86667</v>
      </c>
      <c r="AC5" s="41">
        <f>SUM(AC3:AC4)</f>
        <v>333651</v>
      </c>
      <c r="AD5" s="40">
        <f>SUM(AD3:AD4)</f>
        <v>80000</v>
      </c>
      <c r="AE5" s="41">
        <f>SUM(AB5:AD5)</f>
        <v>500318</v>
      </c>
      <c r="AF5" s="47">
        <f>SUM(AF3:AF4)</f>
        <v>2683</v>
      </c>
      <c r="AG5" s="642">
        <f>SUM(AG3:AG4)</f>
        <v>2683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187797</v>
      </c>
      <c r="M6" s="29"/>
      <c r="N6" s="799"/>
      <c r="O6" s="30">
        <f t="shared" si="2"/>
        <v>5.7632458600683903E-2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187797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2075+12036</f>
        <v>14111</v>
      </c>
      <c r="I7" s="518">
        <f>325+800+2764</f>
        <v>3889</v>
      </c>
      <c r="J7" s="26"/>
      <c r="K7" s="27">
        <f t="shared" si="0"/>
        <v>18000</v>
      </c>
      <c r="L7" s="28">
        <f t="shared" si="1"/>
        <v>169797</v>
      </c>
      <c r="M7" s="29"/>
      <c r="N7" s="799"/>
      <c r="O7" s="30">
        <f t="shared" si="2"/>
        <v>8.6448687901025861E-2</v>
      </c>
      <c r="P7" s="802"/>
      <c r="Q7" s="31">
        <f t="shared" si="3"/>
        <v>0</v>
      </c>
      <c r="R7" s="31"/>
      <c r="S7" s="28">
        <f t="shared" si="4"/>
        <v>14111</v>
      </c>
      <c r="T7" s="28">
        <f t="shared" si="5"/>
        <v>3889</v>
      </c>
      <c r="U7" s="28">
        <f t="shared" si="6"/>
        <v>0</v>
      </c>
      <c r="V7" s="28">
        <f t="shared" si="7"/>
        <v>18000</v>
      </c>
      <c r="W7" s="31">
        <f t="shared" si="8"/>
        <v>169797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14133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167297</v>
      </c>
      <c r="M8" s="29"/>
      <c r="N8" s="799"/>
      <c r="O8" s="30">
        <f t="shared" si="2"/>
        <v>1.2006762208475814E-2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167297</v>
      </c>
      <c r="X8" s="32">
        <f t="shared" si="9"/>
        <v>0</v>
      </c>
      <c r="Y8" s="14" t="s">
        <v>47</v>
      </c>
      <c r="Z8" s="54">
        <v>41930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661</v>
      </c>
      <c r="I9" s="518">
        <v>1539</v>
      </c>
      <c r="J9" s="26"/>
      <c r="K9" s="27">
        <f t="shared" si="0"/>
        <v>2200</v>
      </c>
      <c r="L9" s="28">
        <f t="shared" si="1"/>
        <v>165097</v>
      </c>
      <c r="M9" s="29"/>
      <c r="N9" s="799"/>
      <c r="O9" s="30">
        <f t="shared" si="2"/>
        <v>1.0565950743458716E-2</v>
      </c>
      <c r="P9" s="802"/>
      <c r="Q9" s="31">
        <f t="shared" si="3"/>
        <v>0</v>
      </c>
      <c r="R9" s="31"/>
      <c r="S9" s="28">
        <f t="shared" si="4"/>
        <v>661</v>
      </c>
      <c r="T9" s="28">
        <f t="shared" si="5"/>
        <v>1539</v>
      </c>
      <c r="U9" s="28">
        <f t="shared" si="6"/>
        <v>0</v>
      </c>
      <c r="V9" s="28">
        <f t="shared" si="7"/>
        <v>2200</v>
      </c>
      <c r="W9" s="31">
        <f t="shared" si="8"/>
        <v>165097</v>
      </c>
      <c r="X9" s="32">
        <f t="shared" si="9"/>
        <v>0</v>
      </c>
      <c r="Y9" s="14" t="s">
        <v>189</v>
      </c>
      <c r="Z9" s="58">
        <v>504400</v>
      </c>
      <c r="AA9" s="59">
        <f>Z9*14.65/14.73</f>
        <v>501660.55668703327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1"/>
        <v>145097</v>
      </c>
      <c r="M10" s="29"/>
      <c r="N10" s="799"/>
      <c r="O10" s="30">
        <f t="shared" si="2"/>
        <v>9.6054097667806509E-2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28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145097</v>
      </c>
      <c r="X10" s="32">
        <f t="shared" si="9"/>
        <v>0</v>
      </c>
      <c r="Y10" s="14" t="s">
        <v>191</v>
      </c>
      <c r="Z10" s="58">
        <f>ROUND((Z9*Z30),0)</f>
        <v>503001</v>
      </c>
      <c r="AA10" s="59">
        <f>Z10*14.65/14.73</f>
        <v>500269.15478615073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127097</v>
      </c>
      <c r="M11" s="29"/>
      <c r="N11" s="799"/>
      <c r="O11" s="30">
        <f t="shared" si="2"/>
        <v>8.6448687901025861E-2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127097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123497</v>
      </c>
      <c r="M12" s="29"/>
      <c r="N12" s="799"/>
      <c r="O12" s="30">
        <f t="shared" si="2"/>
        <v>1.7289737580205172E-2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123497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>
        <v>0</v>
      </c>
      <c r="J13" s="26"/>
      <c r="K13" s="27">
        <f t="shared" si="0"/>
        <v>6000</v>
      </c>
      <c r="L13" s="28">
        <f t="shared" si="1"/>
        <v>117497</v>
      </c>
      <c r="M13" s="29"/>
      <c r="N13" s="799"/>
      <c r="O13" s="30">
        <f t="shared" si="2"/>
        <v>2.8816229300341951E-2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117497</v>
      </c>
      <c r="X13" s="32">
        <f t="shared" si="9"/>
        <v>0</v>
      </c>
      <c r="Y13" s="14" t="s">
        <v>67</v>
      </c>
      <c r="Z13" s="67">
        <f>Z14/Z30</f>
        <v>504400.16271682322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10323</v>
      </c>
      <c r="I14" s="26">
        <v>0</v>
      </c>
      <c r="J14" s="26"/>
      <c r="K14" s="27">
        <f t="shared" si="0"/>
        <v>10323</v>
      </c>
      <c r="L14" s="28">
        <f t="shared" si="1"/>
        <v>107174</v>
      </c>
      <c r="M14" s="29"/>
      <c r="N14" s="799"/>
      <c r="O14" s="30">
        <f t="shared" si="2"/>
        <v>4.9578322511238331E-2</v>
      </c>
      <c r="P14" s="802"/>
      <c r="Q14" s="31">
        <f t="shared" si="3"/>
        <v>0</v>
      </c>
      <c r="R14" s="31">
        <v>0</v>
      </c>
      <c r="S14" s="28">
        <f t="shared" si="4"/>
        <v>10323</v>
      </c>
      <c r="T14" s="28">
        <f t="shared" si="5"/>
        <v>0</v>
      </c>
      <c r="U14" s="28">
        <f t="shared" si="6"/>
        <v>0</v>
      </c>
      <c r="V14" s="28">
        <f t="shared" si="7"/>
        <v>10323</v>
      </c>
      <c r="W14" s="31">
        <f t="shared" si="8"/>
        <v>107174</v>
      </c>
      <c r="X14" s="32">
        <f t="shared" si="9"/>
        <v>0</v>
      </c>
      <c r="Y14" s="14" t="s">
        <v>70</v>
      </c>
      <c r="Z14" s="67">
        <f>+Z10-(Z11+Z12)</f>
        <v>503001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89974</v>
      </c>
      <c r="M15" s="29"/>
      <c r="N15" s="799"/>
      <c r="O15" s="30">
        <f t="shared" si="2"/>
        <v>8.2606523994313591E-2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89974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69474</v>
      </c>
      <c r="M16" s="29"/>
      <c r="N16" s="799"/>
      <c r="O16" s="30">
        <f t="shared" si="2"/>
        <v>9.8455450109501672E-2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69474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500</v>
      </c>
      <c r="I17" s="518">
        <v>3000</v>
      </c>
      <c r="J17" s="26"/>
      <c r="K17" s="27">
        <f t="shared" si="0"/>
        <v>3500</v>
      </c>
      <c r="L17" s="28">
        <f t="shared" si="1"/>
        <v>65974</v>
      </c>
      <c r="M17" s="29"/>
      <c r="N17" s="799"/>
      <c r="O17" s="30">
        <f t="shared" si="2"/>
        <v>1.6809467091866138E-2</v>
      </c>
      <c r="P17" s="802"/>
      <c r="Q17" s="31">
        <f t="shared" si="3"/>
        <v>0</v>
      </c>
      <c r="R17" s="31">
        <v>0</v>
      </c>
      <c r="S17" s="28">
        <f t="shared" si="4"/>
        <v>500</v>
      </c>
      <c r="T17" s="28">
        <f t="shared" si="5"/>
        <v>3000</v>
      </c>
      <c r="U17" s="28">
        <f t="shared" si="6"/>
        <v>0</v>
      </c>
      <c r="V17" s="28">
        <f t="shared" si="7"/>
        <v>3500</v>
      </c>
      <c r="W17" s="31">
        <f t="shared" si="8"/>
        <v>65974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359</v>
      </c>
      <c r="J18" s="26"/>
      <c r="K18" s="27">
        <f t="shared" si="0"/>
        <v>359</v>
      </c>
      <c r="L18" s="28">
        <f t="shared" si="1"/>
        <v>65615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359</v>
      </c>
      <c r="U18" s="28">
        <f t="shared" si="6"/>
        <v>0</v>
      </c>
      <c r="V18" s="28">
        <f t="shared" si="7"/>
        <v>359</v>
      </c>
      <c r="W18" s="31">
        <f t="shared" si="8"/>
        <v>65615</v>
      </c>
      <c r="X18" s="32"/>
      <c r="Y18" s="14" t="s">
        <v>77</v>
      </c>
      <c r="Z18" s="71">
        <f>ROUND(Z14*0.43,0)</f>
        <v>216290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2141</v>
      </c>
      <c r="I19" s="26"/>
      <c r="J19" s="26"/>
      <c r="K19" s="27">
        <f t="shared" si="0"/>
        <v>2141</v>
      </c>
      <c r="L19" s="28">
        <f t="shared" si="1"/>
        <v>63474</v>
      </c>
      <c r="M19" s="29"/>
      <c r="N19" s="799"/>
      <c r="O19" s="30">
        <f t="shared" si="2"/>
        <v>1.0282591155338687E-2</v>
      </c>
      <c r="P19" s="802"/>
      <c r="Q19" s="31">
        <f t="shared" si="3"/>
        <v>0</v>
      </c>
      <c r="R19" s="31">
        <v>0</v>
      </c>
      <c r="S19" s="28">
        <f t="shared" si="4"/>
        <v>2141</v>
      </c>
      <c r="T19" s="28">
        <f t="shared" si="5"/>
        <v>0</v>
      </c>
      <c r="U19" s="28">
        <f t="shared" si="6"/>
        <v>0</v>
      </c>
      <c r="V19" s="28">
        <f t="shared" si="7"/>
        <v>2141</v>
      </c>
      <c r="W19" s="31">
        <f t="shared" si="8"/>
        <v>63474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61974</v>
      </c>
      <c r="M20" s="29"/>
      <c r="N20" s="799"/>
      <c r="O20" s="30">
        <f t="shared" si="2"/>
        <v>7.2040573250854879E-3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61974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61974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61974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54474</v>
      </c>
      <c r="M22" s="29"/>
      <c r="N22" s="799"/>
      <c r="O22" s="30">
        <f t="shared" si="2"/>
        <v>3.6020286625427438E-2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54474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54474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54474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54474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54474</v>
      </c>
      <c r="X24" s="32">
        <f t="shared" si="9"/>
        <v>0</v>
      </c>
      <c r="Y24" s="74" t="s">
        <v>169</v>
      </c>
      <c r="Z24" s="680">
        <f>+Z18+Z19</f>
        <v>216290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42474</v>
      </c>
      <c r="M25" s="29"/>
      <c r="N25" s="799"/>
      <c r="O25" s="30">
        <f t="shared" si="2"/>
        <v>5.7632458600683903E-2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42474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8074</v>
      </c>
      <c r="M26" s="86"/>
      <c r="N26" s="800"/>
      <c r="O26" s="87">
        <f t="shared" si="2"/>
        <v>0.16521304798862718</v>
      </c>
      <c r="P26" s="803"/>
      <c r="Q26" s="144">
        <f t="shared" si="3"/>
        <v>0</v>
      </c>
      <c r="R26" s="144">
        <v>-14133</v>
      </c>
      <c r="S26" s="423">
        <f t="shared" si="4"/>
        <v>0</v>
      </c>
      <c r="T26" s="423">
        <f t="shared" si="5"/>
        <v>0</v>
      </c>
      <c r="U26" s="423">
        <f t="shared" si="6"/>
        <v>20267</v>
      </c>
      <c r="V26" s="423">
        <f t="shared" si="7"/>
        <v>20267</v>
      </c>
      <c r="W26" s="144">
        <f t="shared" si="8"/>
        <v>22207</v>
      </c>
      <c r="X26" s="32">
        <f t="shared" si="9"/>
        <v>14133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8074</v>
      </c>
      <c r="M27" s="95"/>
      <c r="N27" s="804">
        <f>SUM(K27:K49)</f>
        <v>21207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22207</v>
      </c>
      <c r="X27" s="32">
        <f t="shared" si="9"/>
        <v>14133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8074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22207</v>
      </c>
      <c r="X28" s="32">
        <f t="shared" si="9"/>
        <v>14133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8074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22207</v>
      </c>
      <c r="X29" s="32">
        <f t="shared" si="9"/>
        <v>14133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8074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22207</v>
      </c>
      <c r="X30" s="32">
        <f t="shared" si="9"/>
        <v>14133</v>
      </c>
      <c r="Y30" s="74" t="s">
        <v>89</v>
      </c>
      <c r="Z30" s="682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8074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22207</v>
      </c>
      <c r="X31" s="32">
        <f t="shared" si="9"/>
        <v>14133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8074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22207</v>
      </c>
      <c r="X32" s="32">
        <f t="shared" si="9"/>
        <v>14133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8074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22207</v>
      </c>
      <c r="X33" s="32">
        <f t="shared" si="9"/>
        <v>14133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8074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22207</v>
      </c>
      <c r="X34" s="32">
        <f t="shared" si="9"/>
        <v>14133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8074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22207</v>
      </c>
      <c r="X35" s="32">
        <f>W35-L35</f>
        <v>14133</v>
      </c>
      <c r="Y35" s="117" t="s">
        <v>56</v>
      </c>
      <c r="Z35" s="113">
        <f>Z34*43%</f>
        <v>34400</v>
      </c>
      <c r="AA35" s="113">
        <f>AD4-Z35</f>
        <v>-14133</v>
      </c>
      <c r="AB35" s="113">
        <f>Z35+AA35</f>
        <v>20267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8074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22207</v>
      </c>
      <c r="X36" s="32">
        <f t="shared" si="9"/>
        <v>14133</v>
      </c>
      <c r="Y36" s="117" t="s">
        <v>60</v>
      </c>
      <c r="Z36" s="113">
        <f>Z34*57%</f>
        <v>45599.999999999993</v>
      </c>
      <c r="AA36" s="113">
        <f>AD3-Z36</f>
        <v>14133.000000000007</v>
      </c>
      <c r="AB36" s="113">
        <f>Z36+AA36</f>
        <v>59733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8074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22207</v>
      </c>
      <c r="X37" s="32">
        <f t="shared" si="9"/>
        <v>14133</v>
      </c>
      <c r="Y37" s="117" t="s">
        <v>94</v>
      </c>
      <c r="Z37" s="113">
        <f>+Z35+Z36</f>
        <v>80000</v>
      </c>
      <c r="AA37" s="113">
        <f>SUM(AA35:AA36)</f>
        <v>0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26"/>
      <c r="J38" s="26"/>
      <c r="K38" s="27">
        <f t="shared" si="0"/>
        <v>11207</v>
      </c>
      <c r="L38" s="28">
        <f>+L37-K38</f>
        <v>-3133</v>
      </c>
      <c r="M38" s="29"/>
      <c r="N38" s="799"/>
      <c r="O38" s="30">
        <f t="shared" si="10"/>
        <v>0.52845758475974913</v>
      </c>
      <c r="P38" s="802"/>
      <c r="Q38" s="31">
        <f t="shared" si="11"/>
        <v>0</v>
      </c>
      <c r="R38" s="31"/>
      <c r="S38" s="28">
        <f t="shared" si="4"/>
        <v>11207</v>
      </c>
      <c r="T38" s="28">
        <f t="shared" si="5"/>
        <v>0</v>
      </c>
      <c r="U38" s="28">
        <f t="shared" si="6"/>
        <v>0</v>
      </c>
      <c r="V38" s="28">
        <f t="shared" si="7"/>
        <v>11207</v>
      </c>
      <c r="W38" s="31">
        <f t="shared" si="8"/>
        <v>11000</v>
      </c>
      <c r="X38" s="32">
        <f t="shared" si="9"/>
        <v>14133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-3133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11000</v>
      </c>
      <c r="X39" s="32">
        <f t="shared" si="9"/>
        <v>14133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-3133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11000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-3133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11000</v>
      </c>
      <c r="X41" s="32">
        <f t="shared" si="9"/>
        <v>14133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-3133</v>
      </c>
      <c r="M42" s="29"/>
      <c r="N42" s="799"/>
      <c r="O42" s="30">
        <f t="shared" si="10"/>
        <v>0</v>
      </c>
      <c r="P42" s="802"/>
      <c r="Q42" s="31">
        <f t="shared" si="11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8"/>
        <v>11000</v>
      </c>
      <c r="X42" s="32">
        <f t="shared" si="9"/>
        <v>14133</v>
      </c>
      <c r="Y42" s="74" t="s">
        <v>96</v>
      </c>
      <c r="Z42" s="75">
        <v>35500</v>
      </c>
      <c r="AA42" s="129">
        <f>+H7+H8+H17+H18+H19+H22+H32+H33+H43+H44+H45+H53</f>
        <v>27752</v>
      </c>
      <c r="AB42" s="129">
        <f>+I7+I8+I17+I18+I19+I22+I32+I33+I43+I44+I45+I53</f>
        <v>7248</v>
      </c>
      <c r="AC42" s="130">
        <f>+AA42+AB42</f>
        <v>35000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-3133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11000</v>
      </c>
      <c r="X43" s="32">
        <f t="shared" si="9"/>
        <v>14133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-3133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11000</v>
      </c>
      <c r="X44" s="32">
        <f t="shared" si="9"/>
        <v>14133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-3133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11000</v>
      </c>
      <c r="X45" s="32">
        <f t="shared" si="9"/>
        <v>14133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-13133</v>
      </c>
      <c r="M46" s="29"/>
      <c r="N46" s="799"/>
      <c r="O46" s="30">
        <f t="shared" si="10"/>
        <v>0.47154241524025087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1000</v>
      </c>
      <c r="X46" s="32">
        <f t="shared" si="9"/>
        <v>14133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-13133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1000</v>
      </c>
      <c r="X47" s="32">
        <f t="shared" si="9"/>
        <v>14133</v>
      </c>
      <c r="Y47" s="57">
        <v>20000</v>
      </c>
      <c r="Z47" s="89">
        <v>4586</v>
      </c>
      <c r="AA47" s="35"/>
      <c r="AB47" s="57">
        <f>57000-AA60</f>
        <v>-2733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-13133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1000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-13133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1000</v>
      </c>
      <c r="X49" s="32">
        <f t="shared" si="9"/>
        <v>14133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-13133</v>
      </c>
      <c r="M50" s="95"/>
      <c r="N50" s="804">
        <f>SUM(K50:K55)</f>
        <v>1000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1000</v>
      </c>
      <c r="X50" s="32">
        <f t="shared" si="9"/>
        <v>14133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>
        <v>0</v>
      </c>
      <c r="J51" s="611"/>
      <c r="K51" s="27">
        <f t="shared" si="0"/>
        <v>0</v>
      </c>
      <c r="L51" s="28">
        <f t="shared" si="1"/>
        <v>-13133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1000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-13133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1000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1000</v>
      </c>
      <c r="I53" s="26"/>
      <c r="J53" s="26"/>
      <c r="K53" s="27">
        <f t="shared" si="0"/>
        <v>1000</v>
      </c>
      <c r="L53" s="28">
        <f>+L52-K53</f>
        <v>-14133</v>
      </c>
      <c r="M53" s="29"/>
      <c r="N53" s="799"/>
      <c r="O53" s="30">
        <f t="shared" si="10"/>
        <v>4.7154241524025087E-2</v>
      </c>
      <c r="P53" s="802"/>
      <c r="Q53" s="97">
        <f t="shared" si="11"/>
        <v>0</v>
      </c>
      <c r="R53" s="31"/>
      <c r="S53" s="28">
        <f t="shared" si="4"/>
        <v>1000</v>
      </c>
      <c r="T53" s="28">
        <f t="shared" si="5"/>
        <v>0</v>
      </c>
      <c r="U53" s="28">
        <f t="shared" si="6"/>
        <v>0</v>
      </c>
      <c r="V53" s="28">
        <f t="shared" si="7"/>
        <v>1000</v>
      </c>
      <c r="W53" s="31">
        <f t="shared" si="8"/>
        <v>0</v>
      </c>
      <c r="X53" s="32">
        <f t="shared" si="9"/>
        <v>14133</v>
      </c>
      <c r="Y53" s="80">
        <f>+Y52-15000</f>
        <v>-2513.5</v>
      </c>
      <c r="Z53" s="49">
        <f>+Z60-43000</f>
        <v>-22733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-14133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0</v>
      </c>
      <c r="X54" s="32">
        <f t="shared" si="9"/>
        <v>14133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-14133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0</v>
      </c>
      <c r="X55" s="119">
        <f t="shared" si="9"/>
        <v>14133</v>
      </c>
      <c r="Y55" s="807">
        <f>Z8</f>
        <v>41930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-14133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14133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-14133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53">
        <v>-7527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-14133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27280</v>
      </c>
      <c r="AA58" s="182">
        <f>+AB3</f>
        <v>59387</v>
      </c>
      <c r="AB58" s="182">
        <f>Z12</f>
        <v>0</v>
      </c>
      <c r="AC58" s="181">
        <f>AB10</f>
        <v>0</v>
      </c>
      <c r="AD58" s="661">
        <f>SUM(Z58:AC58)</f>
        <v>86667</v>
      </c>
      <c r="AE58" s="185">
        <v>68583</v>
      </c>
      <c r="AF58" s="17">
        <f>+AE58-AD58</f>
        <v>-18084</v>
      </c>
      <c r="AH58" s="20">
        <v>15000</v>
      </c>
      <c r="AI58" s="50">
        <f>+AH58/$AH$60</f>
        <v>0.9375</v>
      </c>
      <c r="AJ58" s="50">
        <f>+$AJ$57*AI58</f>
        <v>-7056.5625</v>
      </c>
      <c r="AK58" s="722">
        <f>+AJ58+AH58</f>
        <v>7943.4375</v>
      </c>
      <c r="AL58" s="20">
        <v>5000</v>
      </c>
      <c r="AM58" s="50">
        <f>+AL58-AK58</f>
        <v>-2943.4375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-14133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168743</v>
      </c>
      <c r="AA59" s="182">
        <f>AC3</f>
        <v>164908</v>
      </c>
      <c r="AB59" s="182">
        <f>Z11</f>
        <v>0</v>
      </c>
      <c r="AC59" s="181">
        <v>0</v>
      </c>
      <c r="AD59" s="661">
        <f>SUM(Z59:AC59)</f>
        <v>333651</v>
      </c>
      <c r="AE59" s="185">
        <v>365954</v>
      </c>
      <c r="AF59" s="17">
        <f>+AE59-AD59</f>
        <v>32303</v>
      </c>
      <c r="AG59" s="51"/>
      <c r="AH59" s="19">
        <v>1000</v>
      </c>
      <c r="AI59" s="50">
        <f>+AH59/$AH$60</f>
        <v>6.25E-2</v>
      </c>
      <c r="AJ59" s="50">
        <f>+$AJ$57*AI59</f>
        <v>-470.4375</v>
      </c>
      <c r="AK59" s="722">
        <f>+AJ59+AH59</f>
        <v>529.5625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-14133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20267</v>
      </c>
      <c r="AA60" s="182">
        <f>+AD3+AH10</f>
        <v>59733</v>
      </c>
      <c r="AB60" s="191">
        <v>0</v>
      </c>
      <c r="AC60" s="181">
        <v>0</v>
      </c>
      <c r="AD60" s="662">
        <f>SUM(Z60:AC60)</f>
        <v>80000</v>
      </c>
      <c r="AE60" s="185">
        <v>54700</v>
      </c>
      <c r="AF60" s="17">
        <f>+AE60-AD60</f>
        <v>-25300</v>
      </c>
      <c r="AG60" s="20"/>
      <c r="AH60" s="53">
        <f>SUM(AH58:AH59)</f>
        <v>16000</v>
      </c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-14133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216290</v>
      </c>
      <c r="AA61" s="194">
        <f>SUM(AA58:AA60)</f>
        <v>284028</v>
      </c>
      <c r="AB61" s="194">
        <f>SUM(AB58:AB60)</f>
        <v>0</v>
      </c>
      <c r="AC61" s="194">
        <f>AB10</f>
        <v>0</v>
      </c>
      <c r="AD61" s="195">
        <f>SUM(AD58:AD60)</f>
        <v>500318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-14133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216893.02610963414</v>
      </c>
      <c r="AA62" s="200">
        <f>(AA58/$Z$28+(AA59/$Z$27)+(AA60/$Z$29))</f>
        <v>284820.08793329896</v>
      </c>
      <c r="AB62" s="200">
        <f>(AB58/$Z$28)+(AB59/$Z$27)</f>
        <v>0</v>
      </c>
      <c r="AC62" s="200">
        <f>AB9</f>
        <v>0</v>
      </c>
      <c r="AD62" s="201">
        <f>(AD58/$Z$28+(AD59/$Z$27)+(AD60/$Z$29))</f>
        <v>501713.1140429331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-14133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313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-14133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314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-14133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135162.19964000001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-14133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70466.850960000011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-14133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-14133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503000.83773453924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-14133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-14133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-14133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-14133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41930</v>
      </c>
      <c r="AA72" s="818" t="s">
        <v>118</v>
      </c>
      <c r="AB72" s="818"/>
      <c r="AC72" s="818"/>
      <c r="AD72" s="216">
        <v>10.5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-14133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10.5</v>
      </c>
      <c r="AA73" s="724" t="s">
        <v>120</v>
      </c>
      <c r="AB73" s="724"/>
      <c r="AC73" s="724"/>
      <c r="AD73" s="219">
        <f>24-AD72</f>
        <v>13.5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-14133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23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-14133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723" t="s">
        <v>121</v>
      </c>
      <c r="Z75" s="723" t="s">
        <v>122</v>
      </c>
      <c r="AA75" s="723" t="s">
        <v>123</v>
      </c>
      <c r="AB75" s="820" t="s">
        <v>124</v>
      </c>
      <c r="AC75" s="821"/>
      <c r="AD75" s="822"/>
      <c r="AE75" s="723" t="s">
        <v>125</v>
      </c>
      <c r="AF75" s="723" t="s">
        <v>126</v>
      </c>
      <c r="AG75" s="149"/>
      <c r="AH75" s="723" t="s">
        <v>121</v>
      </c>
      <c r="AI75" s="723"/>
      <c r="AJ75" s="214" t="s">
        <v>7</v>
      </c>
      <c r="AK75" s="236">
        <f>((+AD78-AA78)/$AD$73)*24</f>
        <v>97632</v>
      </c>
      <c r="AL75" s="236">
        <f>AK75</f>
        <v>97632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-14133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723"/>
      <c r="Z76" s="723"/>
      <c r="AA76" s="723"/>
      <c r="AB76" s="723"/>
      <c r="AC76" s="723"/>
      <c r="AD76" s="723"/>
      <c r="AE76" s="723"/>
      <c r="AF76" s="723"/>
      <c r="AG76" s="149"/>
      <c r="AH76" s="723"/>
      <c r="AI76" s="723"/>
      <c r="AJ76" s="214" t="s">
        <v>6</v>
      </c>
      <c r="AK76" s="236">
        <f>((+AD79-AA79)/$AD$73)*24</f>
        <v>306538.66666666669</v>
      </c>
      <c r="AL76" s="236">
        <f>+AK76</f>
        <v>306538.66666666669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-14133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723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23"/>
      <c r="AI77" s="78"/>
      <c r="AJ77" s="214" t="s">
        <v>8</v>
      </c>
      <c r="AK77" s="236">
        <f>((+AD80-AA80)/$AD$73)*24</f>
        <v>94808.888888888891</v>
      </c>
      <c r="AL77" s="236">
        <f>AK77</f>
        <v>94808.888888888891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-14133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>
        <v>68583</v>
      </c>
      <c r="AA78" s="225">
        <v>31749</v>
      </c>
      <c r="AB78" s="226">
        <f t="shared" ref="AB78:AC80" si="23">+Z58</f>
        <v>27280</v>
      </c>
      <c r="AC78" s="226">
        <f t="shared" si="23"/>
        <v>59387</v>
      </c>
      <c r="AD78" s="226">
        <f>+AB78+AC78+AB58+AC58</f>
        <v>86667</v>
      </c>
      <c r="AE78" s="519">
        <f>+((AD58/24)*$AD$73)+AA78</f>
        <v>80499.1875</v>
      </c>
      <c r="AF78" s="227">
        <f>+AE78-AD78</f>
        <v>-6167.8125</v>
      </c>
      <c r="AG78" s="212"/>
      <c r="AH78" s="214" t="s">
        <v>7</v>
      </c>
      <c r="AI78" s="446">
        <f>+AA78</f>
        <v>31749</v>
      </c>
      <c r="AK78" s="231">
        <f>+SUM(AK75:AK77)</f>
        <v>498979.55555555556</v>
      </c>
      <c r="AL78" s="231">
        <f>+SUM(AL75:AL77)</f>
        <v>498979.55555555556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-14133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>
        <v>365954</v>
      </c>
      <c r="AA79" s="225">
        <v>161223</v>
      </c>
      <c r="AB79" s="226">
        <f t="shared" si="23"/>
        <v>168743</v>
      </c>
      <c r="AC79" s="226">
        <f t="shared" si="23"/>
        <v>164908</v>
      </c>
      <c r="AD79" s="226">
        <f>+AB79+AC79+AB59</f>
        <v>333651</v>
      </c>
      <c r="AE79" s="519">
        <f>+((AD59/24)*$AD$73)+AA79</f>
        <v>348901.6875</v>
      </c>
      <c r="AF79" s="227">
        <f>+AE79-AD79</f>
        <v>15250.6875</v>
      </c>
      <c r="AG79" s="212"/>
      <c r="AH79" s="214" t="s">
        <v>6</v>
      </c>
      <c r="AI79" s="446">
        <f>+AA79</f>
        <v>161223</v>
      </c>
      <c r="AJ79" s="53"/>
      <c r="AK79" s="481">
        <f>Z10</f>
        <v>503001</v>
      </c>
      <c r="AL79" s="481">
        <f>AK79-AK78</f>
        <v>4021.444444444438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-14133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>
        <v>54700</v>
      </c>
      <c r="AA80" s="225">
        <v>26670</v>
      </c>
      <c r="AB80" s="226">
        <f t="shared" si="23"/>
        <v>20267</v>
      </c>
      <c r="AC80" s="226">
        <f t="shared" si="23"/>
        <v>59733</v>
      </c>
      <c r="AD80" s="226">
        <f>+AB80+AC80</f>
        <v>80000</v>
      </c>
      <c r="AE80" s="519">
        <f>+((AD60/24)*$AD$73)+AA80</f>
        <v>71670</v>
      </c>
      <c r="AF80" s="227">
        <f>+AE80-AD80</f>
        <v>-8330</v>
      </c>
      <c r="AG80" s="149"/>
      <c r="AH80" s="214" t="s">
        <v>8</v>
      </c>
      <c r="AI80" s="447">
        <f>+AA80</f>
        <v>26670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-14133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489237</v>
      </c>
      <c r="AA81" s="230">
        <f t="shared" si="24"/>
        <v>219642</v>
      </c>
      <c r="AB81" s="229">
        <f t="shared" si="24"/>
        <v>216290</v>
      </c>
      <c r="AC81" s="229">
        <f t="shared" si="24"/>
        <v>284028</v>
      </c>
      <c r="AD81" s="229">
        <f t="shared" si="24"/>
        <v>500318</v>
      </c>
      <c r="AE81" s="229">
        <f t="shared" si="24"/>
        <v>501070.875</v>
      </c>
      <c r="AF81" s="227">
        <f>+SUM(AF78:AF80)</f>
        <v>752.875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-14133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-14133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-14133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-14133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-14133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219642</v>
      </c>
      <c r="AB86" s="337">
        <f>AA87-AA86</f>
        <v>52547.729166666686</v>
      </c>
      <c r="AC86" s="42">
        <f>AB86*24/5.5</f>
        <v>229299.18181818191</v>
      </c>
      <c r="AD86" s="338">
        <f>AC86+353111</f>
        <v>582410.18181818188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-14133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133469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-14133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-14133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-14133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-14133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-14133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699">
        <f>(SUMIF($D$2:$D$57,"domiciliario",$I$2:$I$103))/1000</f>
        <v>18.920999999999999</v>
      </c>
      <c r="AB92" s="700">
        <f>(SUMIF($D$2:$D$57,"domiciliario",$T$2:$T$103))/1000</f>
        <v>18.920999999999999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-14133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-14133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701">
        <f>(SUMIF($D$2:$D$57,"gnv",$I$2:$I$103))/1000</f>
        <v>0.35899999999999999</v>
      </c>
      <c r="AB94" s="702">
        <f>(SUMIF($D$2:$D$57,"gnv",$T$2:$T$103))/1000</f>
        <v>0.35899999999999999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-14133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8</v>
      </c>
      <c r="AB95" s="702">
        <f>(SUMIF($D$2:$D$57,"termico",$T$2:$T$103)+SUMIF($D$2:$D$57,"electrico",$T$2:$T$103)+SUMIF($D$2:$D$57,"térmico",$T$2:$T$103))/1000</f>
        <v>8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-14133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-14133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705">
        <f>(SUMIF($D$2:$D$57,"domiciliario",$H$2:$H$103))/1000</f>
        <v>32.271999999999998</v>
      </c>
      <c r="AB97" s="706">
        <f>(SUMIF($D$2:$D$57,"domiciliario",$S$2:$S$103))/1000</f>
        <v>32.271999999999998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-14133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707">
        <f>(SUMIF($D$2:$D$57,"industrial",$H$2:$H$103))/1000</f>
        <v>35.140999999999998</v>
      </c>
      <c r="AB98" s="708">
        <f>(SUMIF($D$2:$D$57,"industrial",$S$2:$S$103))/1000</f>
        <v>35.140999999999998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-14133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-14133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101.33</v>
      </c>
      <c r="AB100" s="708">
        <f>(SUMIF($D$2:$D$57,"termico",$S$2:$S$103)+SUMIF($D$2:$D$57,"electrico",$S$2:$S$103)+SUMIF($D$2:$D$57,"térmico",$S$2:$S$103))/1000</f>
        <v>101.33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-14133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-14133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20.266999999999999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-14133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168743</v>
      </c>
      <c r="I105" s="252">
        <f>+SUM(I2:I103)</f>
        <v>27280</v>
      </c>
      <c r="J105" s="252">
        <f>+SUM(J2:J103)</f>
        <v>34400</v>
      </c>
      <c r="K105" s="252">
        <f>SUM(K2:K103)</f>
        <v>230423</v>
      </c>
      <c r="L105" s="253">
        <f>+L103</f>
        <v>-14133</v>
      </c>
      <c r="M105" s="252">
        <f>SUM(M2:M103)</f>
        <v>0</v>
      </c>
      <c r="N105" s="252">
        <f>SUM(N2:N103)</f>
        <v>230423</v>
      </c>
      <c r="O105" s="252"/>
      <c r="P105" s="252">
        <f>SUM(P2:P103)</f>
        <v>0</v>
      </c>
      <c r="Q105" s="252">
        <f>SUM(Q2:Q103)</f>
        <v>0</v>
      </c>
      <c r="R105" s="252">
        <f>SUM(R2:R103)</f>
        <v>-14133</v>
      </c>
      <c r="S105" s="252">
        <f>SUM(S2:S103)</f>
        <v>168743</v>
      </c>
      <c r="T105" s="252">
        <f>+SUM(T2:T103)</f>
        <v>27280</v>
      </c>
      <c r="U105" s="252">
        <f>SUM(U2:U103)</f>
        <v>20267</v>
      </c>
      <c r="V105" s="252">
        <f>SUM(V2:V103)</f>
        <v>216290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209923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2591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84" priority="3" operator="lessThan">
      <formula>$AA$78</formula>
    </cfRule>
    <cfRule type="cellIs" dxfId="83" priority="5" operator="greaterThan">
      <formula>$AE$78</formula>
    </cfRule>
  </conditionalFormatting>
  <conditionalFormatting sqref="AA79">
    <cfRule type="cellIs" dxfId="82" priority="4" operator="greaterThan">
      <formula>$AE$79</formula>
    </cfRule>
  </conditionalFormatting>
  <conditionalFormatting sqref="AA80">
    <cfRule type="cellIs" dxfId="81" priority="2" operator="greaterThan">
      <formula>$AE$79</formula>
    </cfRule>
  </conditionalFormatting>
  <conditionalFormatting sqref="AU4:AU23">
    <cfRule type="cellIs" dxfId="8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V44"/>
  <sheetViews>
    <sheetView topLeftCell="A16" workbookViewId="0">
      <selection activeCell="B36" sqref="B36:C41"/>
    </sheetView>
  </sheetViews>
  <sheetFormatPr defaultRowHeight="15" x14ac:dyDescent="0.25"/>
  <cols>
    <col min="1" max="1" width="10.42578125" customWidth="1"/>
    <col min="2" max="2" width="19.140625" customWidth="1"/>
    <col min="3" max="3" width="17.28515625" customWidth="1"/>
    <col min="4" max="7" width="14.7109375" customWidth="1"/>
    <col min="8" max="8" width="23.140625" customWidth="1"/>
    <col min="9" max="9" width="4.140625" customWidth="1"/>
    <col min="10" max="10" width="9.7109375" customWidth="1"/>
    <col min="11" max="12" width="8.5703125" bestFit="1" customWidth="1"/>
    <col min="13" max="13" width="7.42578125" customWidth="1"/>
    <col min="14" max="14" width="7.5703125" bestFit="1" customWidth="1"/>
    <col min="19" max="19" width="11.5703125" bestFit="1" customWidth="1"/>
    <col min="20" max="20" width="10.5703125" bestFit="1" customWidth="1"/>
    <col min="21" max="21" width="9.5703125" bestFit="1" customWidth="1"/>
  </cols>
  <sheetData>
    <row r="1" spans="1:22" x14ac:dyDescent="0.25">
      <c r="A1" s="773"/>
      <c r="B1" s="773"/>
      <c r="C1" s="774" t="s">
        <v>198</v>
      </c>
      <c r="D1" s="775"/>
      <c r="E1" s="775"/>
      <c r="F1" s="775"/>
      <c r="G1" s="775"/>
      <c r="H1" s="775"/>
      <c r="I1" s="775"/>
    </row>
    <row r="2" spans="1:22" x14ac:dyDescent="0.25">
      <c r="A2" s="773"/>
      <c r="B2" s="773"/>
      <c r="C2" s="774" t="s">
        <v>199</v>
      </c>
      <c r="D2" s="775"/>
      <c r="E2" s="775"/>
      <c r="F2" s="775"/>
      <c r="G2" s="775"/>
      <c r="H2" s="775"/>
      <c r="I2" s="775"/>
    </row>
    <row r="3" spans="1:22" x14ac:dyDescent="0.25">
      <c r="A3" s="773"/>
      <c r="B3" s="773"/>
      <c r="C3" s="478"/>
      <c r="D3" s="478"/>
      <c r="E3" s="478"/>
      <c r="F3" s="478"/>
      <c r="G3" s="478"/>
      <c r="H3" s="478"/>
      <c r="I3" s="478"/>
    </row>
    <row r="4" spans="1:22" ht="14.25" customHeight="1" x14ac:dyDescent="0.25">
      <c r="A4" s="776" t="s">
        <v>258</v>
      </c>
      <c r="B4" s="777"/>
      <c r="C4" s="777"/>
      <c r="D4" s="777"/>
      <c r="E4" s="777"/>
      <c r="F4" s="777"/>
      <c r="G4" s="777"/>
      <c r="H4" s="777"/>
      <c r="I4" s="777"/>
    </row>
    <row r="5" spans="1:22" x14ac:dyDescent="0.25">
      <c r="A5" s="778"/>
      <c r="B5" s="779"/>
      <c r="C5" s="779"/>
      <c r="D5" s="779"/>
      <c r="E5" s="779"/>
      <c r="F5" s="779"/>
      <c r="G5" s="779"/>
      <c r="H5" s="779"/>
      <c r="I5" s="779"/>
    </row>
    <row r="6" spans="1:22" ht="15.75" thickBot="1" x14ac:dyDescent="0.3">
      <c r="A6" s="376"/>
      <c r="B6" s="377"/>
      <c r="C6" s="378"/>
      <c r="D6" s="378"/>
      <c r="E6" s="378"/>
      <c r="F6" s="378"/>
      <c r="G6" s="378"/>
      <c r="H6" s="378"/>
      <c r="I6" s="378"/>
      <c r="O6" t="s">
        <v>268</v>
      </c>
    </row>
    <row r="7" spans="1:22" ht="15" customHeight="1" x14ac:dyDescent="0.25">
      <c r="B7" s="762" t="s">
        <v>200</v>
      </c>
      <c r="C7" s="762" t="s">
        <v>201</v>
      </c>
      <c r="D7" s="762" t="s">
        <v>202</v>
      </c>
      <c r="E7" s="762" t="s">
        <v>203</v>
      </c>
      <c r="F7" s="762" t="s">
        <v>204</v>
      </c>
      <c r="G7" s="762" t="s">
        <v>205</v>
      </c>
      <c r="H7" s="764" t="s">
        <v>206</v>
      </c>
      <c r="I7" s="780" t="s">
        <v>207</v>
      </c>
      <c r="J7" s="402">
        <v>0.99718598179047602</v>
      </c>
      <c r="K7" s="400" t="s">
        <v>232</v>
      </c>
      <c r="L7" s="400" t="s">
        <v>7</v>
      </c>
      <c r="M7" s="400" t="s">
        <v>8</v>
      </c>
      <c r="N7" s="400" t="s">
        <v>261</v>
      </c>
      <c r="O7" s="400" t="s">
        <v>232</v>
      </c>
      <c r="P7" s="400" t="s">
        <v>7</v>
      </c>
      <c r="Q7" s="400" t="s">
        <v>8</v>
      </c>
      <c r="R7" s="400" t="s">
        <v>261</v>
      </c>
      <c r="S7" s="400" t="s">
        <v>232</v>
      </c>
      <c r="T7" s="400" t="s">
        <v>7</v>
      </c>
      <c r="U7" s="400" t="s">
        <v>8</v>
      </c>
      <c r="V7" s="400" t="s">
        <v>261</v>
      </c>
    </row>
    <row r="8" spans="1:22" ht="15.75" thickBot="1" x14ac:dyDescent="0.3">
      <c r="B8" s="772"/>
      <c r="C8" s="772"/>
      <c r="D8" s="763"/>
      <c r="E8" s="763"/>
      <c r="F8" s="763"/>
      <c r="G8" s="763"/>
      <c r="H8" s="765"/>
      <c r="I8" s="781"/>
      <c r="J8" s="474" t="s">
        <v>267</v>
      </c>
      <c r="K8" s="401" t="e">
        <f>#REF!</f>
        <v>#REF!</v>
      </c>
      <c r="L8" s="401" t="e">
        <f>#REF!</f>
        <v>#REF!</v>
      </c>
      <c r="M8" s="401" t="e">
        <f>#REF!</f>
        <v>#REF!</v>
      </c>
      <c r="N8" s="402"/>
      <c r="O8" s="401"/>
      <c r="P8" s="401"/>
      <c r="Q8" s="401"/>
      <c r="R8" s="402"/>
    </row>
    <row r="9" spans="1:22" ht="15.75" customHeight="1" x14ac:dyDescent="0.25">
      <c r="B9" s="766" t="s">
        <v>259</v>
      </c>
      <c r="C9" s="379" t="s">
        <v>208</v>
      </c>
      <c r="D9" s="380">
        <v>68000</v>
      </c>
      <c r="E9" s="381">
        <v>103600</v>
      </c>
      <c r="F9" s="381">
        <v>348100</v>
      </c>
      <c r="G9" s="382">
        <v>20000</v>
      </c>
      <c r="H9" s="383">
        <f>SUM(D9:G9)</f>
        <v>539700</v>
      </c>
      <c r="I9" s="467"/>
      <c r="J9" s="472">
        <f>H9*$J$7</f>
        <v>538181.27437231992</v>
      </c>
      <c r="K9" s="472" t="e">
        <f>K8</f>
        <v>#REF!</v>
      </c>
      <c r="L9" s="472" t="e">
        <f>L8</f>
        <v>#REF!</v>
      </c>
      <c r="M9" s="472" t="e">
        <f>J9-K9-L9</f>
        <v>#REF!</v>
      </c>
      <c r="N9" s="472" t="e">
        <f>J9-SUM(K9:M9)</f>
        <v>#REF!</v>
      </c>
      <c r="O9" s="472">
        <v>371275</v>
      </c>
      <c r="P9" s="472">
        <v>135513.45224499999</v>
      </c>
      <c r="Q9" s="472">
        <v>31392.822127319931</v>
      </c>
      <c r="R9" s="472"/>
    </row>
    <row r="10" spans="1:22" ht="15.75" customHeight="1" x14ac:dyDescent="0.25">
      <c r="B10" s="767"/>
      <c r="C10" s="384" t="s">
        <v>209</v>
      </c>
      <c r="D10" s="380">
        <f>D9</f>
        <v>68000</v>
      </c>
      <c r="E10" s="381">
        <f>E9</f>
        <v>103600</v>
      </c>
      <c r="F10" s="381">
        <f>F9</f>
        <v>348100</v>
      </c>
      <c r="G10" s="382">
        <f>G9</f>
        <v>20000</v>
      </c>
      <c r="H10" s="465">
        <f t="shared" ref="H10:H32" si="0">SUM(D10:G10)</f>
        <v>539700</v>
      </c>
      <c r="I10" s="468"/>
      <c r="J10" s="472">
        <f t="shared" ref="J10:J32" si="1">H10*$J$7</f>
        <v>538181.27437231992</v>
      </c>
      <c r="K10" s="472" t="e">
        <f>K9</f>
        <v>#REF!</v>
      </c>
      <c r="L10" s="472" t="e">
        <f>L9</f>
        <v>#REF!</v>
      </c>
      <c r="M10" s="472" t="e">
        <f t="shared" ref="M10:M32" si="2">J10-K10-L10</f>
        <v>#REF!</v>
      </c>
      <c r="N10" s="472" t="e">
        <f t="shared" ref="N10:N32" si="3">J10-SUM(K10:M10)</f>
        <v>#REF!</v>
      </c>
      <c r="O10" s="472">
        <v>371275</v>
      </c>
      <c r="P10" s="472">
        <v>135513.45224499999</v>
      </c>
      <c r="Q10" s="472">
        <v>31392.822127319931</v>
      </c>
      <c r="R10" s="472"/>
    </row>
    <row r="11" spans="1:22" ht="15.75" customHeight="1" x14ac:dyDescent="0.25">
      <c r="B11" s="767"/>
      <c r="C11" s="384" t="s">
        <v>210</v>
      </c>
      <c r="D11" s="380">
        <f t="shared" ref="D11:G26" si="4">D10</f>
        <v>68000</v>
      </c>
      <c r="E11" s="381">
        <f t="shared" si="4"/>
        <v>103600</v>
      </c>
      <c r="F11" s="381">
        <f t="shared" si="4"/>
        <v>348100</v>
      </c>
      <c r="G11" s="382">
        <f t="shared" si="4"/>
        <v>20000</v>
      </c>
      <c r="H11" s="465">
        <f t="shared" si="0"/>
        <v>539700</v>
      </c>
      <c r="I11" s="468"/>
      <c r="J11" s="472">
        <f t="shared" si="1"/>
        <v>538181.27437231992</v>
      </c>
      <c r="K11" s="472" t="e">
        <f t="shared" ref="K11:L26" si="5">K10</f>
        <v>#REF!</v>
      </c>
      <c r="L11" s="472" t="e">
        <f t="shared" si="5"/>
        <v>#REF!</v>
      </c>
      <c r="M11" s="472" t="e">
        <f t="shared" si="2"/>
        <v>#REF!</v>
      </c>
      <c r="N11" s="472" t="e">
        <f t="shared" si="3"/>
        <v>#REF!</v>
      </c>
      <c r="O11" s="472">
        <v>371275</v>
      </c>
      <c r="P11" s="472">
        <v>135513.45224499999</v>
      </c>
      <c r="Q11" s="472">
        <v>31392.822127319931</v>
      </c>
      <c r="R11" s="472"/>
    </row>
    <row r="12" spans="1:22" ht="15.75" customHeight="1" x14ac:dyDescent="0.25">
      <c r="B12" s="767"/>
      <c r="C12" s="384" t="s">
        <v>211</v>
      </c>
      <c r="D12" s="380">
        <f t="shared" si="4"/>
        <v>68000</v>
      </c>
      <c r="E12" s="381">
        <f t="shared" si="4"/>
        <v>103600</v>
      </c>
      <c r="F12" s="381">
        <f t="shared" si="4"/>
        <v>348100</v>
      </c>
      <c r="G12" s="382">
        <f t="shared" si="4"/>
        <v>20000</v>
      </c>
      <c r="H12" s="465">
        <f t="shared" si="0"/>
        <v>539700</v>
      </c>
      <c r="I12" s="468"/>
      <c r="J12" s="472">
        <f t="shared" si="1"/>
        <v>538181.27437231992</v>
      </c>
      <c r="K12" s="472" t="e">
        <f t="shared" si="5"/>
        <v>#REF!</v>
      </c>
      <c r="L12" s="472" t="e">
        <f t="shared" si="5"/>
        <v>#REF!</v>
      </c>
      <c r="M12" s="472" t="e">
        <f t="shared" si="2"/>
        <v>#REF!</v>
      </c>
      <c r="N12" s="472" t="e">
        <f t="shared" si="3"/>
        <v>#REF!</v>
      </c>
      <c r="O12" s="472">
        <v>371275</v>
      </c>
      <c r="P12" s="472">
        <v>135513.45224499999</v>
      </c>
      <c r="Q12" s="472">
        <v>31392.822127319931</v>
      </c>
      <c r="R12" s="472"/>
    </row>
    <row r="13" spans="1:22" ht="15.75" x14ac:dyDescent="0.25">
      <c r="B13" s="767"/>
      <c r="C13" s="384" t="s">
        <v>212</v>
      </c>
      <c r="D13" s="380">
        <f t="shared" si="4"/>
        <v>68000</v>
      </c>
      <c r="E13" s="381">
        <f t="shared" si="4"/>
        <v>103600</v>
      </c>
      <c r="F13" s="381">
        <f t="shared" si="4"/>
        <v>348100</v>
      </c>
      <c r="G13" s="382">
        <f t="shared" si="4"/>
        <v>20000</v>
      </c>
      <c r="H13" s="465">
        <f t="shared" si="0"/>
        <v>539700</v>
      </c>
      <c r="I13" s="468"/>
      <c r="J13" s="472">
        <f t="shared" si="1"/>
        <v>538181.27437231992</v>
      </c>
      <c r="K13" s="472" t="e">
        <f t="shared" si="5"/>
        <v>#REF!</v>
      </c>
      <c r="L13" s="472" t="e">
        <f t="shared" si="5"/>
        <v>#REF!</v>
      </c>
      <c r="M13" s="472" t="e">
        <f t="shared" si="2"/>
        <v>#REF!</v>
      </c>
      <c r="N13" s="472" t="e">
        <f t="shared" si="3"/>
        <v>#REF!</v>
      </c>
      <c r="O13" s="472">
        <v>371275</v>
      </c>
      <c r="P13" s="472">
        <v>135513.45224499999</v>
      </c>
      <c r="Q13" s="472">
        <v>31392.822127319931</v>
      </c>
      <c r="R13" s="472"/>
      <c r="S13" s="479">
        <f>O13*7/24</f>
        <v>108288.54166666667</v>
      </c>
      <c r="T13" s="479">
        <f>P9*7/24</f>
        <v>39524.756904791662</v>
      </c>
      <c r="U13">
        <f>Q9*6/24</f>
        <v>7848.2055318299826</v>
      </c>
    </row>
    <row r="14" spans="1:22" ht="16.5" customHeight="1" x14ac:dyDescent="0.25">
      <c r="B14" s="767"/>
      <c r="C14" s="384" t="s">
        <v>213</v>
      </c>
      <c r="D14" s="380">
        <f t="shared" si="4"/>
        <v>68000</v>
      </c>
      <c r="E14" s="381">
        <f t="shared" si="4"/>
        <v>103600</v>
      </c>
      <c r="F14" s="381">
        <f t="shared" si="4"/>
        <v>348100</v>
      </c>
      <c r="G14" s="382">
        <f t="shared" si="4"/>
        <v>20000</v>
      </c>
      <c r="H14" s="465">
        <f t="shared" si="0"/>
        <v>539700</v>
      </c>
      <c r="I14" s="469"/>
      <c r="J14" s="472">
        <f t="shared" si="1"/>
        <v>538181.27437231992</v>
      </c>
      <c r="K14" s="472" t="e">
        <f t="shared" si="5"/>
        <v>#REF!</v>
      </c>
      <c r="L14" s="472" t="e">
        <f t="shared" si="5"/>
        <v>#REF!</v>
      </c>
      <c r="M14" s="472" t="e">
        <f t="shared" si="2"/>
        <v>#REF!</v>
      </c>
      <c r="N14" s="472" t="e">
        <f t="shared" si="3"/>
        <v>#REF!</v>
      </c>
      <c r="O14" s="472">
        <v>371275</v>
      </c>
      <c r="P14" s="472">
        <v>135513.45224499999</v>
      </c>
      <c r="Q14" s="472">
        <v>31392.822127319931</v>
      </c>
      <c r="R14" s="472"/>
      <c r="S14" s="404" t="e">
        <f>K8-S13</f>
        <v>#REF!</v>
      </c>
      <c r="T14" s="404" t="e">
        <f>L14-T13</f>
        <v>#REF!</v>
      </c>
      <c r="U14" s="479">
        <f>Q15*1/24</f>
        <v>1008.8784607678559</v>
      </c>
    </row>
    <row r="15" spans="1:22" ht="17.25" customHeight="1" x14ac:dyDescent="0.25">
      <c r="B15" s="767"/>
      <c r="C15" s="384" t="s">
        <v>214</v>
      </c>
      <c r="D15" s="380">
        <f t="shared" si="4"/>
        <v>68000</v>
      </c>
      <c r="E15" s="385">
        <v>102000</v>
      </c>
      <c r="F15" s="385">
        <v>342500</v>
      </c>
      <c r="G15" s="382">
        <f t="shared" si="4"/>
        <v>20000</v>
      </c>
      <c r="H15" s="413">
        <f t="shared" si="0"/>
        <v>532500</v>
      </c>
      <c r="I15" s="782" t="s">
        <v>260</v>
      </c>
      <c r="J15" s="472">
        <f t="shared" si="1"/>
        <v>531001.53530342854</v>
      </c>
      <c r="K15" s="472" t="e">
        <f t="shared" si="5"/>
        <v>#REF!</v>
      </c>
      <c r="L15" s="472" t="e">
        <f t="shared" si="5"/>
        <v>#REF!</v>
      </c>
      <c r="M15" s="472" t="e">
        <f t="shared" si="2"/>
        <v>#REF!</v>
      </c>
      <c r="N15" s="472" t="e">
        <f t="shared" si="3"/>
        <v>#REF!</v>
      </c>
      <c r="O15" s="472">
        <v>371275</v>
      </c>
      <c r="P15" s="472">
        <v>135513.45224499999</v>
      </c>
      <c r="Q15" s="472">
        <v>24213.083058428543</v>
      </c>
      <c r="R15" s="472"/>
      <c r="S15" t="e">
        <f>S14*24/(24-7)</f>
        <v>#REF!</v>
      </c>
      <c r="T15" t="e">
        <f>T14*24/(24-7)</f>
        <v>#REF!</v>
      </c>
    </row>
    <row r="16" spans="1:22" ht="15.75" customHeight="1" x14ac:dyDescent="0.25">
      <c r="B16" s="767"/>
      <c r="C16" s="384" t="s">
        <v>215</v>
      </c>
      <c r="D16" s="380">
        <f t="shared" si="4"/>
        <v>68000</v>
      </c>
      <c r="E16" s="385">
        <f>E15</f>
        <v>102000</v>
      </c>
      <c r="F16" s="385">
        <f>F15</f>
        <v>342500</v>
      </c>
      <c r="G16" s="382">
        <f t="shared" si="4"/>
        <v>20000</v>
      </c>
      <c r="H16" s="413">
        <f t="shared" si="0"/>
        <v>532500</v>
      </c>
      <c r="I16" s="782"/>
      <c r="J16" s="472">
        <f t="shared" si="1"/>
        <v>531001.53530342854</v>
      </c>
      <c r="K16" s="472" t="e">
        <f t="shared" si="5"/>
        <v>#REF!</v>
      </c>
      <c r="L16" s="472" t="e">
        <f t="shared" si="5"/>
        <v>#REF!</v>
      </c>
      <c r="M16" s="472" t="e">
        <f t="shared" si="2"/>
        <v>#REF!</v>
      </c>
      <c r="N16" s="472" t="e">
        <f t="shared" si="3"/>
        <v>#REF!</v>
      </c>
      <c r="O16" s="472">
        <v>304205</v>
      </c>
      <c r="P16" s="472">
        <v>135514</v>
      </c>
      <c r="Q16" s="472">
        <f>J16-O16-P16</f>
        <v>91282.535303428536</v>
      </c>
      <c r="R16" s="472">
        <f t="shared" ref="R16:R32" si="6">J16-SUM(O16:Q16)</f>
        <v>0</v>
      </c>
    </row>
    <row r="17" spans="2:18" ht="15.75" customHeight="1" x14ac:dyDescent="0.25">
      <c r="B17" s="767"/>
      <c r="C17" s="384" t="s">
        <v>216</v>
      </c>
      <c r="D17" s="380">
        <f t="shared" si="4"/>
        <v>68000</v>
      </c>
      <c r="E17" s="385">
        <f t="shared" si="4"/>
        <v>102000</v>
      </c>
      <c r="F17" s="385">
        <f t="shared" si="4"/>
        <v>342500</v>
      </c>
      <c r="G17" s="382">
        <f t="shared" si="4"/>
        <v>20000</v>
      </c>
      <c r="H17" s="413">
        <f t="shared" si="0"/>
        <v>532500</v>
      </c>
      <c r="I17" s="782"/>
      <c r="J17" s="472">
        <f t="shared" si="1"/>
        <v>531001.53530342854</v>
      </c>
      <c r="K17" s="472" t="e">
        <f t="shared" si="5"/>
        <v>#REF!</v>
      </c>
      <c r="L17" s="472" t="e">
        <f t="shared" si="5"/>
        <v>#REF!</v>
      </c>
      <c r="M17" s="472" t="e">
        <f t="shared" si="2"/>
        <v>#REF!</v>
      </c>
      <c r="N17" s="472" t="e">
        <f t="shared" si="3"/>
        <v>#REF!</v>
      </c>
      <c r="O17" s="472">
        <v>304205</v>
      </c>
      <c r="P17" s="472">
        <v>135514</v>
      </c>
      <c r="Q17" s="472">
        <f t="shared" ref="Q17:Q32" si="7">J17-O17-P17</f>
        <v>91282.535303428536</v>
      </c>
      <c r="R17" s="472">
        <f t="shared" si="6"/>
        <v>0</v>
      </c>
    </row>
    <row r="18" spans="2:18" ht="15.75" customHeight="1" x14ac:dyDescent="0.25">
      <c r="B18" s="767"/>
      <c r="C18" s="384" t="s">
        <v>217</v>
      </c>
      <c r="D18" s="380">
        <f t="shared" si="4"/>
        <v>68000</v>
      </c>
      <c r="E18" s="385">
        <f t="shared" si="4"/>
        <v>102000</v>
      </c>
      <c r="F18" s="385">
        <f t="shared" si="4"/>
        <v>342500</v>
      </c>
      <c r="G18" s="382">
        <f t="shared" si="4"/>
        <v>20000</v>
      </c>
      <c r="H18" s="413">
        <f t="shared" si="0"/>
        <v>532500</v>
      </c>
      <c r="I18" s="782"/>
      <c r="J18" s="472">
        <f t="shared" si="1"/>
        <v>531001.53530342854</v>
      </c>
      <c r="K18" s="472" t="e">
        <f t="shared" si="5"/>
        <v>#REF!</v>
      </c>
      <c r="L18" s="472" t="e">
        <f t="shared" si="5"/>
        <v>#REF!</v>
      </c>
      <c r="M18" s="472" t="e">
        <f t="shared" si="2"/>
        <v>#REF!</v>
      </c>
      <c r="N18" s="472" t="e">
        <f t="shared" si="3"/>
        <v>#REF!</v>
      </c>
      <c r="O18" s="472">
        <v>304205</v>
      </c>
      <c r="P18" s="472">
        <v>135514</v>
      </c>
      <c r="Q18" s="472">
        <f t="shared" si="7"/>
        <v>91282.535303428536</v>
      </c>
      <c r="R18" s="472">
        <f t="shared" si="6"/>
        <v>0</v>
      </c>
    </row>
    <row r="19" spans="2:18" ht="15.75" customHeight="1" x14ac:dyDescent="0.25">
      <c r="B19" s="767"/>
      <c r="C19" s="384" t="s">
        <v>218</v>
      </c>
      <c r="D19" s="380">
        <f t="shared" si="4"/>
        <v>68000</v>
      </c>
      <c r="E19" s="385">
        <f t="shared" si="4"/>
        <v>102000</v>
      </c>
      <c r="F19" s="385">
        <f t="shared" si="4"/>
        <v>342500</v>
      </c>
      <c r="G19" s="382">
        <f t="shared" si="4"/>
        <v>20000</v>
      </c>
      <c r="H19" s="413">
        <f t="shared" si="0"/>
        <v>532500</v>
      </c>
      <c r="I19" s="782"/>
      <c r="J19" s="472">
        <f t="shared" si="1"/>
        <v>531001.53530342854</v>
      </c>
      <c r="K19" s="472" t="e">
        <f t="shared" si="5"/>
        <v>#REF!</v>
      </c>
      <c r="L19" s="472" t="e">
        <f t="shared" si="5"/>
        <v>#REF!</v>
      </c>
      <c r="M19" s="472" t="e">
        <f t="shared" si="2"/>
        <v>#REF!</v>
      </c>
      <c r="N19" s="472" t="e">
        <f t="shared" si="3"/>
        <v>#REF!</v>
      </c>
      <c r="O19" s="472">
        <v>304205</v>
      </c>
      <c r="P19" s="472">
        <v>135514</v>
      </c>
      <c r="Q19" s="472">
        <f t="shared" si="7"/>
        <v>91282.535303428536</v>
      </c>
      <c r="R19" s="472">
        <f t="shared" si="6"/>
        <v>0</v>
      </c>
    </row>
    <row r="20" spans="2:18" ht="15.75" customHeight="1" x14ac:dyDescent="0.25">
      <c r="B20" s="767"/>
      <c r="C20" s="384" t="s">
        <v>219</v>
      </c>
      <c r="D20" s="380">
        <f t="shared" si="4"/>
        <v>68000</v>
      </c>
      <c r="E20" s="385">
        <f t="shared" si="4"/>
        <v>102000</v>
      </c>
      <c r="F20" s="385">
        <f t="shared" si="4"/>
        <v>342500</v>
      </c>
      <c r="G20" s="382">
        <f t="shared" si="4"/>
        <v>20000</v>
      </c>
      <c r="H20" s="413">
        <f t="shared" si="0"/>
        <v>532500</v>
      </c>
      <c r="I20" s="782"/>
      <c r="J20" s="472">
        <f t="shared" si="1"/>
        <v>531001.53530342854</v>
      </c>
      <c r="K20" s="472" t="e">
        <f t="shared" si="5"/>
        <v>#REF!</v>
      </c>
      <c r="L20" s="472" t="e">
        <f t="shared" si="5"/>
        <v>#REF!</v>
      </c>
      <c r="M20" s="472" t="e">
        <f t="shared" si="2"/>
        <v>#REF!</v>
      </c>
      <c r="N20" s="472" t="e">
        <f t="shared" si="3"/>
        <v>#REF!</v>
      </c>
      <c r="O20" s="472">
        <v>304205</v>
      </c>
      <c r="P20" s="472">
        <v>135514</v>
      </c>
      <c r="Q20" s="472">
        <f t="shared" si="7"/>
        <v>91282.535303428536</v>
      </c>
      <c r="R20" s="472">
        <f t="shared" si="6"/>
        <v>0</v>
      </c>
    </row>
    <row r="21" spans="2:18" ht="15.75" customHeight="1" x14ac:dyDescent="0.25">
      <c r="B21" s="767"/>
      <c r="C21" s="384" t="s">
        <v>220</v>
      </c>
      <c r="D21" s="380">
        <f t="shared" si="4"/>
        <v>68000</v>
      </c>
      <c r="E21" s="385">
        <f t="shared" si="4"/>
        <v>102000</v>
      </c>
      <c r="F21" s="385">
        <f t="shared" si="4"/>
        <v>342500</v>
      </c>
      <c r="G21" s="382">
        <f t="shared" si="4"/>
        <v>20000</v>
      </c>
      <c r="H21" s="413">
        <f t="shared" si="0"/>
        <v>532500</v>
      </c>
      <c r="I21" s="782"/>
      <c r="J21" s="472">
        <f t="shared" si="1"/>
        <v>531001.53530342854</v>
      </c>
      <c r="K21" s="472" t="e">
        <f t="shared" si="5"/>
        <v>#REF!</v>
      </c>
      <c r="L21" s="472" t="e">
        <f t="shared" si="5"/>
        <v>#REF!</v>
      </c>
      <c r="M21" s="472" t="e">
        <f t="shared" si="2"/>
        <v>#REF!</v>
      </c>
      <c r="N21" s="472" t="e">
        <f t="shared" si="3"/>
        <v>#REF!</v>
      </c>
      <c r="O21" s="472">
        <v>304205</v>
      </c>
      <c r="P21" s="472">
        <v>135514</v>
      </c>
      <c r="Q21" s="472">
        <f t="shared" si="7"/>
        <v>91282.535303428536</v>
      </c>
      <c r="R21" s="472">
        <f t="shared" si="6"/>
        <v>0</v>
      </c>
    </row>
    <row r="22" spans="2:18" ht="15.75" customHeight="1" x14ac:dyDescent="0.25">
      <c r="B22" s="767"/>
      <c r="C22" s="384" t="s">
        <v>221</v>
      </c>
      <c r="D22" s="380">
        <f t="shared" si="4"/>
        <v>68000</v>
      </c>
      <c r="E22" s="385">
        <f t="shared" si="4"/>
        <v>102000</v>
      </c>
      <c r="F22" s="385">
        <f t="shared" si="4"/>
        <v>342500</v>
      </c>
      <c r="G22" s="382">
        <f t="shared" si="4"/>
        <v>20000</v>
      </c>
      <c r="H22" s="413">
        <f t="shared" si="0"/>
        <v>532500</v>
      </c>
      <c r="I22" s="782"/>
      <c r="J22" s="472">
        <f t="shared" si="1"/>
        <v>531001.53530342854</v>
      </c>
      <c r="K22" s="472" t="e">
        <f t="shared" si="5"/>
        <v>#REF!</v>
      </c>
      <c r="L22" s="472" t="e">
        <f t="shared" si="5"/>
        <v>#REF!</v>
      </c>
      <c r="M22" s="472" t="e">
        <f t="shared" si="2"/>
        <v>#REF!</v>
      </c>
      <c r="N22" s="472" t="e">
        <f t="shared" si="3"/>
        <v>#REF!</v>
      </c>
      <c r="O22" s="472">
        <v>304205</v>
      </c>
      <c r="P22" s="472">
        <v>135514</v>
      </c>
      <c r="Q22" s="472">
        <f t="shared" si="7"/>
        <v>91282.535303428536</v>
      </c>
      <c r="R22" s="472">
        <f t="shared" si="6"/>
        <v>0</v>
      </c>
    </row>
    <row r="23" spans="2:18" ht="15.75" customHeight="1" x14ac:dyDescent="0.25">
      <c r="B23" s="767"/>
      <c r="C23" s="384" t="s">
        <v>222</v>
      </c>
      <c r="D23" s="380">
        <f t="shared" si="4"/>
        <v>68000</v>
      </c>
      <c r="E23" s="385">
        <f t="shared" si="4"/>
        <v>102000</v>
      </c>
      <c r="F23" s="385">
        <f t="shared" si="4"/>
        <v>342500</v>
      </c>
      <c r="G23" s="382">
        <f t="shared" si="4"/>
        <v>20000</v>
      </c>
      <c r="H23" s="413">
        <f t="shared" si="0"/>
        <v>532500</v>
      </c>
      <c r="I23" s="782"/>
      <c r="J23" s="472">
        <f t="shared" si="1"/>
        <v>531001.53530342854</v>
      </c>
      <c r="K23" s="472" t="e">
        <f t="shared" si="5"/>
        <v>#REF!</v>
      </c>
      <c r="L23" s="472" t="e">
        <f t="shared" si="5"/>
        <v>#REF!</v>
      </c>
      <c r="M23" s="472" t="e">
        <f t="shared" si="2"/>
        <v>#REF!</v>
      </c>
      <c r="N23" s="472" t="e">
        <f t="shared" si="3"/>
        <v>#REF!</v>
      </c>
      <c r="O23" s="472">
        <v>304205</v>
      </c>
      <c r="P23" s="472">
        <v>135514</v>
      </c>
      <c r="Q23" s="472">
        <f t="shared" si="7"/>
        <v>91282.535303428536</v>
      </c>
      <c r="R23" s="472">
        <f t="shared" si="6"/>
        <v>0</v>
      </c>
    </row>
    <row r="24" spans="2:18" ht="15.75" customHeight="1" x14ac:dyDescent="0.25">
      <c r="B24" s="767"/>
      <c r="C24" s="384" t="s">
        <v>223</v>
      </c>
      <c r="D24" s="380">
        <f t="shared" si="4"/>
        <v>68000</v>
      </c>
      <c r="E24" s="385">
        <f t="shared" si="4"/>
        <v>102000</v>
      </c>
      <c r="F24" s="385">
        <f t="shared" si="4"/>
        <v>342500</v>
      </c>
      <c r="G24" s="382">
        <f t="shared" si="4"/>
        <v>20000</v>
      </c>
      <c r="H24" s="413">
        <f t="shared" si="0"/>
        <v>532500</v>
      </c>
      <c r="I24" s="782"/>
      <c r="J24" s="472">
        <f t="shared" si="1"/>
        <v>531001.53530342854</v>
      </c>
      <c r="K24" s="472" t="e">
        <f t="shared" si="5"/>
        <v>#REF!</v>
      </c>
      <c r="L24" s="472" t="e">
        <f t="shared" si="5"/>
        <v>#REF!</v>
      </c>
      <c r="M24" s="472" t="e">
        <f t="shared" si="2"/>
        <v>#REF!</v>
      </c>
      <c r="N24" s="472" t="e">
        <f t="shared" si="3"/>
        <v>#REF!</v>
      </c>
      <c r="O24" s="472">
        <v>304205</v>
      </c>
      <c r="P24" s="472">
        <v>135514</v>
      </c>
      <c r="Q24" s="472">
        <f t="shared" si="7"/>
        <v>91282.535303428536</v>
      </c>
      <c r="R24" s="472">
        <f t="shared" si="6"/>
        <v>0</v>
      </c>
    </row>
    <row r="25" spans="2:18" ht="15.75" customHeight="1" x14ac:dyDescent="0.25">
      <c r="B25" s="767"/>
      <c r="C25" s="384" t="s">
        <v>224</v>
      </c>
      <c r="D25" s="380">
        <f t="shared" si="4"/>
        <v>68000</v>
      </c>
      <c r="E25" s="385">
        <f t="shared" si="4"/>
        <v>102000</v>
      </c>
      <c r="F25" s="385">
        <f t="shared" si="4"/>
        <v>342500</v>
      </c>
      <c r="G25" s="382">
        <f t="shared" si="4"/>
        <v>20000</v>
      </c>
      <c r="H25" s="413">
        <f t="shared" si="0"/>
        <v>532500</v>
      </c>
      <c r="I25" s="782"/>
      <c r="J25" s="472">
        <f t="shared" si="1"/>
        <v>531001.53530342854</v>
      </c>
      <c r="K25" s="472" t="e">
        <f t="shared" si="5"/>
        <v>#REF!</v>
      </c>
      <c r="L25" s="472" t="e">
        <f t="shared" si="5"/>
        <v>#REF!</v>
      </c>
      <c r="M25" s="472" t="e">
        <f t="shared" si="2"/>
        <v>#REF!</v>
      </c>
      <c r="N25" s="472" t="e">
        <f t="shared" si="3"/>
        <v>#REF!</v>
      </c>
      <c r="O25" s="472">
        <v>304205</v>
      </c>
      <c r="P25" s="472">
        <v>135514</v>
      </c>
      <c r="Q25" s="472">
        <f t="shared" si="7"/>
        <v>91282.535303428536</v>
      </c>
      <c r="R25" s="472">
        <f t="shared" si="6"/>
        <v>0</v>
      </c>
    </row>
    <row r="26" spans="2:18" ht="16.5" customHeight="1" x14ac:dyDescent="0.25">
      <c r="B26" s="767"/>
      <c r="C26" s="384" t="s">
        <v>225</v>
      </c>
      <c r="D26" s="380">
        <f t="shared" si="4"/>
        <v>68000</v>
      </c>
      <c r="E26" s="385">
        <f t="shared" si="4"/>
        <v>102000</v>
      </c>
      <c r="F26" s="385">
        <f t="shared" si="4"/>
        <v>342500</v>
      </c>
      <c r="G26" s="382">
        <f t="shared" si="4"/>
        <v>20000</v>
      </c>
      <c r="H26" s="413">
        <f t="shared" si="0"/>
        <v>532500</v>
      </c>
      <c r="I26" s="782"/>
      <c r="J26" s="472">
        <f t="shared" si="1"/>
        <v>531001.53530342854</v>
      </c>
      <c r="K26" s="472" t="e">
        <f t="shared" si="5"/>
        <v>#REF!</v>
      </c>
      <c r="L26" s="472" t="e">
        <f t="shared" si="5"/>
        <v>#REF!</v>
      </c>
      <c r="M26" s="472" t="e">
        <f t="shared" si="2"/>
        <v>#REF!</v>
      </c>
      <c r="N26" s="472" t="e">
        <f t="shared" si="3"/>
        <v>#REF!</v>
      </c>
      <c r="O26" s="472">
        <v>304205</v>
      </c>
      <c r="P26" s="472">
        <v>135514</v>
      </c>
      <c r="Q26" s="472">
        <f t="shared" si="7"/>
        <v>91282.535303428536</v>
      </c>
      <c r="R26" s="472">
        <f t="shared" si="6"/>
        <v>0</v>
      </c>
    </row>
    <row r="27" spans="2:18" ht="15.75" customHeight="1" x14ac:dyDescent="0.25">
      <c r="B27" s="767"/>
      <c r="C27" s="384" t="s">
        <v>226</v>
      </c>
      <c r="D27" s="380">
        <f t="shared" ref="D27:F32" si="8">D26</f>
        <v>68000</v>
      </c>
      <c r="E27" s="381">
        <f>E14</f>
        <v>103600</v>
      </c>
      <c r="F27" s="381">
        <f>F14</f>
        <v>348100</v>
      </c>
      <c r="G27" s="382">
        <f t="shared" ref="G27:G32" si="9">G26</f>
        <v>20000</v>
      </c>
      <c r="H27" s="465">
        <f t="shared" si="0"/>
        <v>539700</v>
      </c>
      <c r="I27" s="469"/>
      <c r="J27" s="472">
        <f t="shared" si="1"/>
        <v>538181.27437231992</v>
      </c>
      <c r="K27" s="472" t="e">
        <f t="shared" ref="K27:L32" si="10">K26</f>
        <v>#REF!</v>
      </c>
      <c r="L27" s="472" t="e">
        <f t="shared" si="10"/>
        <v>#REF!</v>
      </c>
      <c r="M27" s="472" t="e">
        <f t="shared" si="2"/>
        <v>#REF!</v>
      </c>
      <c r="N27" s="472" t="e">
        <f t="shared" si="3"/>
        <v>#REF!</v>
      </c>
      <c r="O27" s="472">
        <v>304205</v>
      </c>
      <c r="P27" s="472">
        <v>135514</v>
      </c>
      <c r="Q27" s="472">
        <f t="shared" si="7"/>
        <v>98462.274372319924</v>
      </c>
      <c r="R27" s="472">
        <f t="shared" si="6"/>
        <v>0</v>
      </c>
    </row>
    <row r="28" spans="2:18" ht="16.5" customHeight="1" x14ac:dyDescent="0.25">
      <c r="B28" s="767"/>
      <c r="C28" s="384" t="s">
        <v>227</v>
      </c>
      <c r="D28" s="380">
        <f t="shared" si="8"/>
        <v>68000</v>
      </c>
      <c r="E28" s="381">
        <f>E27</f>
        <v>103600</v>
      </c>
      <c r="F28" s="381">
        <f>F27</f>
        <v>348100</v>
      </c>
      <c r="G28" s="382">
        <f t="shared" si="9"/>
        <v>20000</v>
      </c>
      <c r="H28" s="465">
        <f t="shared" si="0"/>
        <v>539700</v>
      </c>
      <c r="I28" s="469"/>
      <c r="J28" s="472">
        <f t="shared" si="1"/>
        <v>538181.27437231992</v>
      </c>
      <c r="K28" s="472" t="e">
        <f t="shared" si="10"/>
        <v>#REF!</v>
      </c>
      <c r="L28" s="472" t="e">
        <f t="shared" si="10"/>
        <v>#REF!</v>
      </c>
      <c r="M28" s="472" t="e">
        <f t="shared" si="2"/>
        <v>#REF!</v>
      </c>
      <c r="N28" s="472" t="e">
        <f t="shared" si="3"/>
        <v>#REF!</v>
      </c>
      <c r="O28" s="472">
        <v>304205</v>
      </c>
      <c r="P28" s="472">
        <v>135514</v>
      </c>
      <c r="Q28" s="472">
        <f t="shared" si="7"/>
        <v>98462.274372319924</v>
      </c>
      <c r="R28" s="472">
        <f t="shared" si="6"/>
        <v>0</v>
      </c>
    </row>
    <row r="29" spans="2:18" ht="15.75" customHeight="1" x14ac:dyDescent="0.25">
      <c r="B29" s="767"/>
      <c r="C29" s="384" t="s">
        <v>228</v>
      </c>
      <c r="D29" s="380">
        <f t="shared" si="8"/>
        <v>68000</v>
      </c>
      <c r="E29" s="381">
        <f t="shared" si="8"/>
        <v>103600</v>
      </c>
      <c r="F29" s="381">
        <f t="shared" si="8"/>
        <v>348100</v>
      </c>
      <c r="G29" s="382">
        <f t="shared" si="9"/>
        <v>20000</v>
      </c>
      <c r="H29" s="465">
        <f t="shared" si="0"/>
        <v>539700</v>
      </c>
      <c r="I29" s="468"/>
      <c r="J29" s="472">
        <f t="shared" si="1"/>
        <v>538181.27437231992</v>
      </c>
      <c r="K29" s="472" t="e">
        <f t="shared" si="10"/>
        <v>#REF!</v>
      </c>
      <c r="L29" s="472" t="e">
        <f t="shared" si="10"/>
        <v>#REF!</v>
      </c>
      <c r="M29" s="472" t="e">
        <f t="shared" si="2"/>
        <v>#REF!</v>
      </c>
      <c r="N29" s="472" t="e">
        <f t="shared" si="3"/>
        <v>#REF!</v>
      </c>
      <c r="O29" s="472">
        <v>304205</v>
      </c>
      <c r="P29" s="472">
        <v>135514</v>
      </c>
      <c r="Q29" s="472">
        <f t="shared" si="7"/>
        <v>98462.274372319924</v>
      </c>
      <c r="R29" s="472">
        <f t="shared" si="6"/>
        <v>0</v>
      </c>
    </row>
    <row r="30" spans="2:18" ht="15.75" customHeight="1" x14ac:dyDescent="0.25">
      <c r="B30" s="767"/>
      <c r="C30" s="384" t="s">
        <v>229</v>
      </c>
      <c r="D30" s="380">
        <f t="shared" si="8"/>
        <v>68000</v>
      </c>
      <c r="E30" s="381">
        <f t="shared" si="8"/>
        <v>103600</v>
      </c>
      <c r="F30" s="381">
        <f t="shared" si="8"/>
        <v>348100</v>
      </c>
      <c r="G30" s="382">
        <f t="shared" si="9"/>
        <v>20000</v>
      </c>
      <c r="H30" s="465">
        <f t="shared" si="0"/>
        <v>539700</v>
      </c>
      <c r="I30" s="468"/>
      <c r="J30" s="472">
        <f t="shared" si="1"/>
        <v>538181.27437231992</v>
      </c>
      <c r="K30" s="472" t="e">
        <f t="shared" si="10"/>
        <v>#REF!</v>
      </c>
      <c r="L30" s="472" t="e">
        <f t="shared" si="10"/>
        <v>#REF!</v>
      </c>
      <c r="M30" s="472" t="e">
        <f t="shared" si="2"/>
        <v>#REF!</v>
      </c>
      <c r="N30" s="472" t="e">
        <f t="shared" si="3"/>
        <v>#REF!</v>
      </c>
      <c r="O30" s="472">
        <v>304205</v>
      </c>
      <c r="P30" s="472">
        <v>135514</v>
      </c>
      <c r="Q30" s="472">
        <f t="shared" si="7"/>
        <v>98462.274372319924</v>
      </c>
      <c r="R30" s="472">
        <f t="shared" si="6"/>
        <v>0</v>
      </c>
    </row>
    <row r="31" spans="2:18" ht="15.75" customHeight="1" x14ac:dyDescent="0.25">
      <c r="B31" s="767"/>
      <c r="C31" s="384" t="s">
        <v>230</v>
      </c>
      <c r="D31" s="380">
        <f t="shared" si="8"/>
        <v>68000</v>
      </c>
      <c r="E31" s="381">
        <f t="shared" si="8"/>
        <v>103600</v>
      </c>
      <c r="F31" s="381">
        <f t="shared" si="8"/>
        <v>348100</v>
      </c>
      <c r="G31" s="382">
        <f t="shared" si="9"/>
        <v>20000</v>
      </c>
      <c r="H31" s="465">
        <f t="shared" si="0"/>
        <v>539700</v>
      </c>
      <c r="I31" s="468"/>
      <c r="J31" s="472">
        <f t="shared" si="1"/>
        <v>538181.27437231992</v>
      </c>
      <c r="K31" s="472" t="e">
        <f t="shared" si="10"/>
        <v>#REF!</v>
      </c>
      <c r="L31" s="472" t="e">
        <f t="shared" si="10"/>
        <v>#REF!</v>
      </c>
      <c r="M31" s="472" t="e">
        <f t="shared" si="2"/>
        <v>#REF!</v>
      </c>
      <c r="N31" s="472" t="e">
        <f t="shared" si="3"/>
        <v>#REF!</v>
      </c>
      <c r="O31" s="472">
        <v>304205</v>
      </c>
      <c r="P31" s="472">
        <v>135514</v>
      </c>
      <c r="Q31" s="472">
        <f t="shared" si="7"/>
        <v>98462.274372319924</v>
      </c>
      <c r="R31" s="472">
        <f t="shared" si="6"/>
        <v>0</v>
      </c>
    </row>
    <row r="32" spans="2:18" ht="16.5" customHeight="1" thickBot="1" x14ac:dyDescent="0.3">
      <c r="B32" s="768"/>
      <c r="C32" s="386" t="s">
        <v>231</v>
      </c>
      <c r="D32" s="380">
        <f t="shared" si="8"/>
        <v>68000</v>
      </c>
      <c r="E32" s="381">
        <f t="shared" si="8"/>
        <v>103600</v>
      </c>
      <c r="F32" s="381">
        <f t="shared" si="8"/>
        <v>348100</v>
      </c>
      <c r="G32" s="382">
        <f t="shared" si="9"/>
        <v>20000</v>
      </c>
      <c r="H32" s="466">
        <f t="shared" si="0"/>
        <v>539700</v>
      </c>
      <c r="I32" s="470"/>
      <c r="J32" s="472">
        <f t="shared" si="1"/>
        <v>538181.27437231992</v>
      </c>
      <c r="K32" s="472" t="e">
        <f t="shared" si="10"/>
        <v>#REF!</v>
      </c>
      <c r="L32" s="472" t="e">
        <f t="shared" si="10"/>
        <v>#REF!</v>
      </c>
      <c r="M32" s="472" t="e">
        <f t="shared" si="2"/>
        <v>#REF!</v>
      </c>
      <c r="N32" s="472" t="e">
        <f t="shared" si="3"/>
        <v>#REF!</v>
      </c>
      <c r="O32" s="472">
        <v>304205</v>
      </c>
      <c r="P32" s="472">
        <v>135514</v>
      </c>
      <c r="Q32" s="472">
        <f t="shared" si="7"/>
        <v>98462.274372319924</v>
      </c>
      <c r="R32" s="472">
        <f t="shared" si="6"/>
        <v>0</v>
      </c>
    </row>
    <row r="33" spans="2:18" ht="15.75" customHeight="1" thickBot="1" x14ac:dyDescent="0.3">
      <c r="B33" s="387" t="s">
        <v>130</v>
      </c>
      <c r="C33" s="388"/>
      <c r="D33" s="389">
        <f>AVERAGE(D9:D32)</f>
        <v>68000</v>
      </c>
      <c r="E33" s="389">
        <f>AVERAGE(E9:E32)</f>
        <v>102800</v>
      </c>
      <c r="F33" s="389">
        <f>AVERAGE(F9:F32)</f>
        <v>345300</v>
      </c>
      <c r="G33" s="389">
        <f>AVERAGE(G9:G32)</f>
        <v>20000</v>
      </c>
      <c r="H33" s="389">
        <f>AVERAGE(H9:H32)</f>
        <v>536100</v>
      </c>
      <c r="I33" s="471"/>
      <c r="J33" s="473">
        <f t="shared" ref="J33:Q33" si="11">AVERAGE(J9:J32)</f>
        <v>534591.40483787446</v>
      </c>
      <c r="K33" s="473" t="e">
        <f t="shared" si="11"/>
        <v>#REF!</v>
      </c>
      <c r="L33" s="473" t="e">
        <f t="shared" si="11"/>
        <v>#REF!</v>
      </c>
      <c r="M33" s="473" t="e">
        <f t="shared" si="11"/>
        <v>#REF!</v>
      </c>
      <c r="N33" s="473" t="e">
        <f t="shared" si="11"/>
        <v>#REF!</v>
      </c>
      <c r="O33" s="473">
        <f t="shared" si="11"/>
        <v>323767.08333333331</v>
      </c>
      <c r="P33" s="473">
        <f t="shared" si="11"/>
        <v>135513.84023812501</v>
      </c>
      <c r="Q33" s="473">
        <f t="shared" si="11"/>
        <v>75310.481266415896</v>
      </c>
      <c r="R33" s="473"/>
    </row>
    <row r="34" spans="2:18" ht="15.75" x14ac:dyDescent="0.25">
      <c r="B34" s="391"/>
      <c r="C34" s="392"/>
      <c r="D34" s="393"/>
      <c r="E34" s="393"/>
      <c r="F34" s="393"/>
      <c r="G34" s="394"/>
      <c r="H34" s="395"/>
      <c r="I34" s="396"/>
      <c r="J34" s="472"/>
      <c r="K34" s="472" t="e">
        <f>K33-K8</f>
        <v>#REF!</v>
      </c>
      <c r="L34" s="472" t="e">
        <f>L33-L8</f>
        <v>#REF!</v>
      </c>
      <c r="M34" s="472" t="e">
        <f>M33-M8</f>
        <v>#REF!</v>
      </c>
      <c r="N34" s="472"/>
      <c r="O34" s="472"/>
      <c r="P34" s="472"/>
      <c r="Q34" s="472"/>
      <c r="R34" s="472"/>
    </row>
    <row r="35" spans="2:18" x14ac:dyDescent="0.25">
      <c r="B35" s="397"/>
      <c r="C35" s="397"/>
      <c r="D35" s="397"/>
      <c r="E35" s="397"/>
      <c r="F35" s="397"/>
      <c r="G35" s="397"/>
      <c r="H35" s="397"/>
      <c r="I35" s="397"/>
    </row>
    <row r="36" spans="2:18" ht="27" customHeight="1" x14ac:dyDescent="0.25">
      <c r="B36" s="475" t="s">
        <v>262</v>
      </c>
      <c r="C36" s="476" t="s">
        <v>263</v>
      </c>
      <c r="D36" s="397"/>
      <c r="E36" s="397"/>
      <c r="F36" s="397"/>
      <c r="G36" s="397"/>
      <c r="H36" s="397"/>
      <c r="I36" s="397"/>
    </row>
    <row r="37" spans="2:18" x14ac:dyDescent="0.25">
      <c r="B37" s="406" t="s">
        <v>264</v>
      </c>
      <c r="C37" s="407">
        <v>31393</v>
      </c>
      <c r="D37" s="398"/>
      <c r="E37" s="397"/>
      <c r="F37" s="397"/>
      <c r="G37" s="397"/>
      <c r="H37" s="399"/>
      <c r="I37" s="397"/>
    </row>
    <row r="38" spans="2:18" x14ac:dyDescent="0.25">
      <c r="B38" s="406" t="s">
        <v>269</v>
      </c>
      <c r="C38" s="407">
        <v>24213</v>
      </c>
      <c r="D38" s="398"/>
      <c r="E38" s="397"/>
      <c r="F38" s="397"/>
      <c r="G38" s="397"/>
      <c r="H38" s="399"/>
      <c r="I38" s="397"/>
    </row>
    <row r="39" spans="2:18" x14ac:dyDescent="0.25">
      <c r="B39" s="406" t="s">
        <v>270</v>
      </c>
      <c r="C39" s="407">
        <v>91283</v>
      </c>
      <c r="D39" s="397"/>
      <c r="E39" s="397"/>
      <c r="F39" s="397"/>
      <c r="G39" s="397"/>
      <c r="H39" s="397"/>
      <c r="I39" s="397"/>
    </row>
    <row r="40" spans="2:18" x14ac:dyDescent="0.25">
      <c r="B40" s="406" t="s">
        <v>266</v>
      </c>
      <c r="C40" s="407">
        <v>98462</v>
      </c>
      <c r="D40" s="397"/>
      <c r="E40" s="397"/>
      <c r="F40" s="397"/>
      <c r="G40" s="397"/>
      <c r="H40" s="397"/>
      <c r="I40" s="397"/>
    </row>
    <row r="41" spans="2:18" x14ac:dyDescent="0.25">
      <c r="B41" s="405" t="s">
        <v>233</v>
      </c>
      <c r="C41" s="477">
        <v>75550</v>
      </c>
      <c r="D41" s="397"/>
      <c r="E41" s="397"/>
      <c r="F41" s="397"/>
      <c r="G41" s="397"/>
      <c r="H41" s="397"/>
      <c r="I41" s="397"/>
    </row>
    <row r="42" spans="2:18" x14ac:dyDescent="0.25">
      <c r="E42" s="397"/>
      <c r="F42" s="397"/>
    </row>
    <row r="43" spans="2:18" x14ac:dyDescent="0.25">
      <c r="E43" s="397"/>
      <c r="F43" s="397"/>
    </row>
    <row r="44" spans="2:18" x14ac:dyDescent="0.25">
      <c r="E44" s="397"/>
      <c r="F44" s="397"/>
    </row>
  </sheetData>
  <mergeCells count="15">
    <mergeCell ref="G7:G8"/>
    <mergeCell ref="H7:H8"/>
    <mergeCell ref="I7:I8"/>
    <mergeCell ref="B9:B32"/>
    <mergeCell ref="I15:I26"/>
    <mergeCell ref="B7:B8"/>
    <mergeCell ref="C7:C8"/>
    <mergeCell ref="D7:D8"/>
    <mergeCell ref="E7:E8"/>
    <mergeCell ref="F7:F8"/>
    <mergeCell ref="A1:B3"/>
    <mergeCell ref="C1:I1"/>
    <mergeCell ref="C2:I2"/>
    <mergeCell ref="A4:I4"/>
    <mergeCell ref="A5:I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50"/>
  </sheetPr>
  <dimension ref="A1:AX186"/>
  <sheetViews>
    <sheetView topLeftCell="T1" zoomScale="80" zoomScaleNormal="80" workbookViewId="0">
      <selection activeCell="AG27" sqref="AG27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213290</v>
      </c>
      <c r="M2" s="29"/>
      <c r="N2" s="798">
        <f>SUM(K2:K26)</f>
        <v>208216</v>
      </c>
      <c r="O2" s="30">
        <f>+K2/$N$2</f>
        <v>1.4408114650170976E-2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213290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26" t="s">
        <v>31</v>
      </c>
      <c r="AE2" s="726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212190</v>
      </c>
      <c r="M3" s="29"/>
      <c r="N3" s="799"/>
      <c r="O3" s="30">
        <f t="shared" ref="O3:O29" si="2">+K3/$N$2</f>
        <v>5.2829753717293579E-3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212190</v>
      </c>
      <c r="X3" s="32">
        <f t="shared" ref="X3:X56" si="9">W3-L3</f>
        <v>0</v>
      </c>
      <c r="Y3" s="37" t="s">
        <v>34</v>
      </c>
      <c r="Z3" s="38">
        <f>ROUND((Z13*57%),0)</f>
        <v>287508</v>
      </c>
      <c r="AA3" s="39">
        <f>ROUND((+Z14*0.57),0)</f>
        <v>286711</v>
      </c>
      <c r="AB3" s="454">
        <v>62017</v>
      </c>
      <c r="AC3" s="455">
        <v>164908</v>
      </c>
      <c r="AD3" s="40">
        <f>59800-67</f>
        <v>59733</v>
      </c>
      <c r="AE3" s="41">
        <f>SUM(AB3:AD3)</f>
        <v>286658</v>
      </c>
      <c r="AF3" s="41">
        <f>AA3-AE3</f>
        <v>53</v>
      </c>
      <c r="AG3" s="641">
        <f>AA3-AB3-AC3-AD3</f>
        <v>53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1"/>
        <v>200997</v>
      </c>
      <c r="M4" s="29"/>
      <c r="N4" s="799"/>
      <c r="O4" s="30">
        <f t="shared" si="2"/>
        <v>5.375667575978791E-2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11193</v>
      </c>
      <c r="U4" s="28">
        <f t="shared" si="6"/>
        <v>0</v>
      </c>
      <c r="V4" s="28">
        <f t="shared" si="7"/>
        <v>11193</v>
      </c>
      <c r="W4" s="31">
        <f t="shared" si="8"/>
        <v>200997</v>
      </c>
      <c r="X4" s="32">
        <f t="shared" si="9"/>
        <v>0</v>
      </c>
      <c r="Y4" s="37" t="s">
        <v>38</v>
      </c>
      <c r="Z4" s="38">
        <f>ROUND((Z13*43%),0)</f>
        <v>216892</v>
      </c>
      <c r="AA4" s="39">
        <f>ROUND((+Z14*0.43),0)</f>
        <v>216290</v>
      </c>
      <c r="AB4" s="43">
        <f>T105</f>
        <v>30280</v>
      </c>
      <c r="AC4" s="43">
        <f>S105</f>
        <v>165743</v>
      </c>
      <c r="AD4" s="40">
        <f>U105</f>
        <v>20267</v>
      </c>
      <c r="AE4" s="41">
        <f>SUM(AB4:AD4)</f>
        <v>216290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199797</v>
      </c>
      <c r="M5" s="29"/>
      <c r="N5" s="799"/>
      <c r="O5" s="30">
        <f t="shared" si="2"/>
        <v>5.7632458600683908E-3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199797</v>
      </c>
      <c r="X5" s="32">
        <f t="shared" si="9"/>
        <v>0</v>
      </c>
      <c r="Y5" s="44" t="s">
        <v>41</v>
      </c>
      <c r="Z5" s="38">
        <f>SUM(Z3:Z4)</f>
        <v>504400</v>
      </c>
      <c r="AA5" s="45">
        <f>SUM(AA3:AA4)</f>
        <v>503001</v>
      </c>
      <c r="AB5" s="46">
        <f>SUM(AB3:AB4)</f>
        <v>92297</v>
      </c>
      <c r="AC5" s="41">
        <f>SUM(AC3:AC4)</f>
        <v>330651</v>
      </c>
      <c r="AD5" s="40">
        <f>SUM(AD3:AD4)</f>
        <v>80000</v>
      </c>
      <c r="AE5" s="41">
        <f>SUM(AB5:AD5)</f>
        <v>502948</v>
      </c>
      <c r="AF5" s="47">
        <f>SUM(AF3:AF4)</f>
        <v>53</v>
      </c>
      <c r="AG5" s="642">
        <f>SUM(AG3:AG4)</f>
        <v>53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187797</v>
      </c>
      <c r="M6" s="29"/>
      <c r="N6" s="799"/>
      <c r="O6" s="30">
        <f t="shared" si="2"/>
        <v>5.7632458600683903E-2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187797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2075+12036</f>
        <v>14111</v>
      </c>
      <c r="I7" s="518">
        <f>325+800+2764</f>
        <v>3889</v>
      </c>
      <c r="J7" s="26"/>
      <c r="K7" s="27">
        <f t="shared" si="0"/>
        <v>18000</v>
      </c>
      <c r="L7" s="28">
        <f t="shared" si="1"/>
        <v>169797</v>
      </c>
      <c r="M7" s="29"/>
      <c r="N7" s="799"/>
      <c r="O7" s="30">
        <f t="shared" si="2"/>
        <v>8.6448687901025861E-2</v>
      </c>
      <c r="P7" s="802"/>
      <c r="Q7" s="31">
        <f t="shared" si="3"/>
        <v>0</v>
      </c>
      <c r="R7" s="31"/>
      <c r="S7" s="28">
        <f t="shared" si="4"/>
        <v>14111</v>
      </c>
      <c r="T7" s="28">
        <f t="shared" si="5"/>
        <v>3889</v>
      </c>
      <c r="U7" s="28">
        <f t="shared" si="6"/>
        <v>0</v>
      </c>
      <c r="V7" s="28">
        <f t="shared" si="7"/>
        <v>18000</v>
      </c>
      <c r="W7" s="31">
        <f t="shared" si="8"/>
        <v>169797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14133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167297</v>
      </c>
      <c r="M8" s="29"/>
      <c r="N8" s="799"/>
      <c r="O8" s="30">
        <f t="shared" si="2"/>
        <v>1.2006762208475814E-2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167297</v>
      </c>
      <c r="X8" s="32">
        <f t="shared" si="9"/>
        <v>0</v>
      </c>
      <c r="Y8" s="14" t="s">
        <v>47</v>
      </c>
      <c r="Z8" s="54">
        <v>41930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661</v>
      </c>
      <c r="I9" s="518">
        <v>1539</v>
      </c>
      <c r="J9" s="26"/>
      <c r="K9" s="27">
        <f t="shared" si="0"/>
        <v>2200</v>
      </c>
      <c r="L9" s="28">
        <f t="shared" si="1"/>
        <v>165097</v>
      </c>
      <c r="M9" s="29"/>
      <c r="N9" s="799"/>
      <c r="O9" s="30">
        <f t="shared" si="2"/>
        <v>1.0565950743458716E-2</v>
      </c>
      <c r="P9" s="802"/>
      <c r="Q9" s="31">
        <f t="shared" si="3"/>
        <v>0</v>
      </c>
      <c r="R9" s="31"/>
      <c r="S9" s="28">
        <f t="shared" si="4"/>
        <v>661</v>
      </c>
      <c r="T9" s="28">
        <f t="shared" si="5"/>
        <v>1539</v>
      </c>
      <c r="U9" s="28">
        <f t="shared" si="6"/>
        <v>0</v>
      </c>
      <c r="V9" s="28">
        <f t="shared" si="7"/>
        <v>2200</v>
      </c>
      <c r="W9" s="31">
        <f t="shared" si="8"/>
        <v>165097</v>
      </c>
      <c r="X9" s="32">
        <f t="shared" si="9"/>
        <v>0</v>
      </c>
      <c r="Y9" s="14" t="s">
        <v>189</v>
      </c>
      <c r="Z9" s="58">
        <v>504400</v>
      </c>
      <c r="AA9" s="59">
        <f>Z9*14.65/14.73</f>
        <v>501660.55668703327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1"/>
        <v>145097</v>
      </c>
      <c r="M10" s="29"/>
      <c r="N10" s="799"/>
      <c r="O10" s="30">
        <f t="shared" si="2"/>
        <v>9.6054097667806509E-2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28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145097</v>
      </c>
      <c r="X10" s="32">
        <f t="shared" si="9"/>
        <v>0</v>
      </c>
      <c r="Y10" s="14" t="s">
        <v>191</v>
      </c>
      <c r="Z10" s="58">
        <f>ROUND((Z9*Z30),0)</f>
        <v>503001</v>
      </c>
      <c r="AA10" s="59">
        <f>Z10*14.65/14.73</f>
        <v>500269.15478615073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127097</v>
      </c>
      <c r="M11" s="29"/>
      <c r="N11" s="799"/>
      <c r="O11" s="30">
        <f t="shared" si="2"/>
        <v>8.6448687901025861E-2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127097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123497</v>
      </c>
      <c r="M12" s="29"/>
      <c r="N12" s="799"/>
      <c r="O12" s="30">
        <f t="shared" si="2"/>
        <v>1.7289737580205172E-2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123497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3000</v>
      </c>
      <c r="I13" s="26">
        <v>3000</v>
      </c>
      <c r="J13" s="26"/>
      <c r="K13" s="27">
        <f t="shared" si="0"/>
        <v>6000</v>
      </c>
      <c r="L13" s="28">
        <f t="shared" si="1"/>
        <v>117497</v>
      </c>
      <c r="M13" s="29"/>
      <c r="N13" s="799"/>
      <c r="O13" s="30">
        <f t="shared" si="2"/>
        <v>2.8816229300341951E-2</v>
      </c>
      <c r="P13" s="802"/>
      <c r="Q13" s="31">
        <f t="shared" si="3"/>
        <v>0</v>
      </c>
      <c r="R13" s="31">
        <v>0</v>
      </c>
      <c r="S13" s="28">
        <f t="shared" si="4"/>
        <v>3000</v>
      </c>
      <c r="T13" s="28">
        <f t="shared" si="5"/>
        <v>3000</v>
      </c>
      <c r="U13" s="28">
        <f t="shared" si="6"/>
        <v>0</v>
      </c>
      <c r="V13" s="28">
        <f t="shared" si="7"/>
        <v>6000</v>
      </c>
      <c r="W13" s="31">
        <f t="shared" si="8"/>
        <v>117497</v>
      </c>
      <c r="X13" s="32">
        <f t="shared" si="9"/>
        <v>0</v>
      </c>
      <c r="Y13" s="14" t="s">
        <v>67</v>
      </c>
      <c r="Z13" s="67">
        <f>Z14/Z30</f>
        <v>504400.16271682322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10323</v>
      </c>
      <c r="I14" s="26">
        <v>0</v>
      </c>
      <c r="J14" s="26"/>
      <c r="K14" s="27">
        <f t="shared" si="0"/>
        <v>10323</v>
      </c>
      <c r="L14" s="28">
        <f t="shared" si="1"/>
        <v>107174</v>
      </c>
      <c r="M14" s="29"/>
      <c r="N14" s="799"/>
      <c r="O14" s="30">
        <f t="shared" si="2"/>
        <v>4.9578322511238331E-2</v>
      </c>
      <c r="P14" s="802"/>
      <c r="Q14" s="31">
        <f t="shared" si="3"/>
        <v>0</v>
      </c>
      <c r="R14" s="31">
        <v>0</v>
      </c>
      <c r="S14" s="28">
        <f t="shared" si="4"/>
        <v>10323</v>
      </c>
      <c r="T14" s="28">
        <f t="shared" si="5"/>
        <v>0</v>
      </c>
      <c r="U14" s="28">
        <f t="shared" si="6"/>
        <v>0</v>
      </c>
      <c r="V14" s="28">
        <f t="shared" si="7"/>
        <v>10323</v>
      </c>
      <c r="W14" s="31">
        <f t="shared" si="8"/>
        <v>107174</v>
      </c>
      <c r="X14" s="32">
        <f t="shared" si="9"/>
        <v>0</v>
      </c>
      <c r="Y14" s="14" t="s">
        <v>70</v>
      </c>
      <c r="Z14" s="67">
        <f>+Z10-(Z11+Z12)</f>
        <v>503001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89974</v>
      </c>
      <c r="M15" s="29"/>
      <c r="N15" s="799"/>
      <c r="O15" s="30">
        <f t="shared" si="2"/>
        <v>8.2606523994313591E-2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89974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69474</v>
      </c>
      <c r="M16" s="29"/>
      <c r="N16" s="799"/>
      <c r="O16" s="30">
        <f t="shared" si="2"/>
        <v>9.8455450109501672E-2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69474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500</v>
      </c>
      <c r="I17" s="518">
        <v>3000</v>
      </c>
      <c r="J17" s="26"/>
      <c r="K17" s="27">
        <f t="shared" si="0"/>
        <v>3500</v>
      </c>
      <c r="L17" s="28">
        <f t="shared" si="1"/>
        <v>65974</v>
      </c>
      <c r="M17" s="29"/>
      <c r="N17" s="799"/>
      <c r="O17" s="30">
        <f t="shared" si="2"/>
        <v>1.6809467091866138E-2</v>
      </c>
      <c r="P17" s="802"/>
      <c r="Q17" s="31">
        <f t="shared" si="3"/>
        <v>0</v>
      </c>
      <c r="R17" s="31">
        <v>0</v>
      </c>
      <c r="S17" s="28">
        <f t="shared" si="4"/>
        <v>500</v>
      </c>
      <c r="T17" s="28">
        <f t="shared" si="5"/>
        <v>3000</v>
      </c>
      <c r="U17" s="28">
        <f t="shared" si="6"/>
        <v>0</v>
      </c>
      <c r="V17" s="28">
        <f t="shared" si="7"/>
        <v>3500</v>
      </c>
      <c r="W17" s="31">
        <f t="shared" si="8"/>
        <v>65974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359</v>
      </c>
      <c r="J18" s="26"/>
      <c r="K18" s="27">
        <f t="shared" si="0"/>
        <v>359</v>
      </c>
      <c r="L18" s="28">
        <f t="shared" si="1"/>
        <v>65615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359</v>
      </c>
      <c r="U18" s="28">
        <f t="shared" si="6"/>
        <v>0</v>
      </c>
      <c r="V18" s="28">
        <f t="shared" si="7"/>
        <v>359</v>
      </c>
      <c r="W18" s="31">
        <f t="shared" si="8"/>
        <v>65615</v>
      </c>
      <c r="X18" s="32"/>
      <c r="Y18" s="14" t="s">
        <v>77</v>
      </c>
      <c r="Z18" s="71">
        <f>ROUND(Z14*0.43,0)</f>
        <v>216290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2141</v>
      </c>
      <c r="I19" s="26"/>
      <c r="J19" s="26"/>
      <c r="K19" s="27">
        <f t="shared" si="0"/>
        <v>2141</v>
      </c>
      <c r="L19" s="28">
        <f t="shared" si="1"/>
        <v>63474</v>
      </c>
      <c r="M19" s="29"/>
      <c r="N19" s="799"/>
      <c r="O19" s="30">
        <f t="shared" si="2"/>
        <v>1.0282591155338687E-2</v>
      </c>
      <c r="P19" s="802"/>
      <c r="Q19" s="31">
        <f t="shared" si="3"/>
        <v>0</v>
      </c>
      <c r="R19" s="31">
        <v>0</v>
      </c>
      <c r="S19" s="28">
        <f t="shared" si="4"/>
        <v>2141</v>
      </c>
      <c r="T19" s="28">
        <f t="shared" si="5"/>
        <v>0</v>
      </c>
      <c r="U19" s="28">
        <f t="shared" si="6"/>
        <v>0</v>
      </c>
      <c r="V19" s="28">
        <f t="shared" si="7"/>
        <v>2141</v>
      </c>
      <c r="W19" s="31">
        <f t="shared" si="8"/>
        <v>63474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61974</v>
      </c>
      <c r="M20" s="29"/>
      <c r="N20" s="799"/>
      <c r="O20" s="30">
        <f t="shared" si="2"/>
        <v>7.2040573250854879E-3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61974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61974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61974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54474</v>
      </c>
      <c r="M22" s="29"/>
      <c r="N22" s="799"/>
      <c r="O22" s="30">
        <f t="shared" si="2"/>
        <v>3.6020286625427438E-2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54474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54474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54474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54474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54474</v>
      </c>
      <c r="X24" s="32">
        <f t="shared" si="9"/>
        <v>0</v>
      </c>
      <c r="Y24" s="74" t="s">
        <v>169</v>
      </c>
      <c r="Z24" s="680">
        <f>+Z18+Z19</f>
        <v>216290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42474</v>
      </c>
      <c r="M25" s="29"/>
      <c r="N25" s="799"/>
      <c r="O25" s="30">
        <f t="shared" si="2"/>
        <v>5.7632458600683903E-2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42474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8074</v>
      </c>
      <c r="M26" s="86"/>
      <c r="N26" s="800"/>
      <c r="O26" s="87">
        <f t="shared" si="2"/>
        <v>0.16521304798862718</v>
      </c>
      <c r="P26" s="803"/>
      <c r="Q26" s="144">
        <f t="shared" si="3"/>
        <v>0</v>
      </c>
      <c r="R26" s="144">
        <v>-14133</v>
      </c>
      <c r="S26" s="423">
        <f t="shared" si="4"/>
        <v>0</v>
      </c>
      <c r="T26" s="423">
        <f t="shared" si="5"/>
        <v>0</v>
      </c>
      <c r="U26" s="423">
        <f t="shared" si="6"/>
        <v>20267</v>
      </c>
      <c r="V26" s="423">
        <f t="shared" si="7"/>
        <v>20267</v>
      </c>
      <c r="W26" s="144">
        <f t="shared" si="8"/>
        <v>22207</v>
      </c>
      <c r="X26" s="32">
        <f t="shared" si="9"/>
        <v>14133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8074</v>
      </c>
      <c r="M27" s="95"/>
      <c r="N27" s="804">
        <f>SUM(K27:K49)</f>
        <v>21207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22207</v>
      </c>
      <c r="X27" s="32">
        <f t="shared" si="9"/>
        <v>14133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8074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22207</v>
      </c>
      <c r="X28" s="32">
        <f t="shared" si="9"/>
        <v>14133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8074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22207</v>
      </c>
      <c r="X29" s="32">
        <f t="shared" si="9"/>
        <v>14133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8074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22207</v>
      </c>
      <c r="X30" s="32">
        <f t="shared" si="9"/>
        <v>14133</v>
      </c>
      <c r="Y30" s="74" t="s">
        <v>89</v>
      </c>
      <c r="Z30" s="682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8074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22207</v>
      </c>
      <c r="X31" s="32">
        <f t="shared" si="9"/>
        <v>14133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8074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22207</v>
      </c>
      <c r="X32" s="32">
        <f t="shared" si="9"/>
        <v>14133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8074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22207</v>
      </c>
      <c r="X33" s="32">
        <f t="shared" si="9"/>
        <v>14133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8074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22207</v>
      </c>
      <c r="X34" s="32">
        <f t="shared" si="9"/>
        <v>14133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8074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22207</v>
      </c>
      <c r="X35" s="32">
        <f>W35-L35</f>
        <v>14133</v>
      </c>
      <c r="Y35" s="117" t="s">
        <v>56</v>
      </c>
      <c r="Z35" s="113">
        <f>Z34*43%</f>
        <v>34400</v>
      </c>
      <c r="AA35" s="113">
        <f>AD4-Z35</f>
        <v>-14133</v>
      </c>
      <c r="AB35" s="113">
        <f>Z35+AA35</f>
        <v>20267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8074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22207</v>
      </c>
      <c r="X36" s="32">
        <f t="shared" si="9"/>
        <v>14133</v>
      </c>
      <c r="Y36" s="117" t="s">
        <v>60</v>
      </c>
      <c r="Z36" s="113">
        <f>Z34*57%</f>
        <v>45599.999999999993</v>
      </c>
      <c r="AA36" s="113">
        <f>AD3-Z36</f>
        <v>14133.000000000007</v>
      </c>
      <c r="AB36" s="113">
        <f>Z36+AA36</f>
        <v>59733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8074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22207</v>
      </c>
      <c r="X37" s="32">
        <f t="shared" si="9"/>
        <v>14133</v>
      </c>
      <c r="Y37" s="117" t="s">
        <v>94</v>
      </c>
      <c r="Z37" s="113">
        <f>+Z35+Z36</f>
        <v>80000</v>
      </c>
      <c r="AA37" s="113">
        <f>SUM(AA35:AA36)</f>
        <v>0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26"/>
      <c r="J38" s="26"/>
      <c r="K38" s="27">
        <f t="shared" si="0"/>
        <v>11207</v>
      </c>
      <c r="L38" s="28">
        <f>+L37-K38</f>
        <v>-3133</v>
      </c>
      <c r="M38" s="29"/>
      <c r="N38" s="799"/>
      <c r="O38" s="30">
        <f t="shared" si="10"/>
        <v>0.52845758475974913</v>
      </c>
      <c r="P38" s="802"/>
      <c r="Q38" s="31">
        <f t="shared" si="11"/>
        <v>0</v>
      </c>
      <c r="R38" s="31"/>
      <c r="S38" s="28">
        <f t="shared" si="4"/>
        <v>11207</v>
      </c>
      <c r="T38" s="28">
        <f t="shared" si="5"/>
        <v>0</v>
      </c>
      <c r="U38" s="28">
        <f t="shared" si="6"/>
        <v>0</v>
      </c>
      <c r="V38" s="28">
        <f t="shared" si="7"/>
        <v>11207</v>
      </c>
      <c r="W38" s="31">
        <f t="shared" si="8"/>
        <v>11000</v>
      </c>
      <c r="X38" s="32">
        <f t="shared" si="9"/>
        <v>14133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-3133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11000</v>
      </c>
      <c r="X39" s="32">
        <f t="shared" si="9"/>
        <v>14133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-3133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11000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-3133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11000</v>
      </c>
      <c r="X41" s="32">
        <f t="shared" si="9"/>
        <v>14133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-3133</v>
      </c>
      <c r="M42" s="29"/>
      <c r="N42" s="799"/>
      <c r="O42" s="30">
        <f t="shared" si="10"/>
        <v>0</v>
      </c>
      <c r="P42" s="802"/>
      <c r="Q42" s="31">
        <f t="shared" si="11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8"/>
        <v>11000</v>
      </c>
      <c r="X42" s="32">
        <f t="shared" si="9"/>
        <v>14133</v>
      </c>
      <c r="Y42" s="74" t="s">
        <v>96</v>
      </c>
      <c r="Z42" s="75">
        <v>35500</v>
      </c>
      <c r="AA42" s="129">
        <f>+H7+H8+H17+H18+H19+H22+H32+H33+H43+H44+H45+H53</f>
        <v>27752</v>
      </c>
      <c r="AB42" s="129">
        <f>+I7+I8+I17+I18+I19+I22+I32+I33+I43+I44+I45+I53</f>
        <v>7248</v>
      </c>
      <c r="AC42" s="130">
        <f>+AA42+AB42</f>
        <v>35000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-3133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11000</v>
      </c>
      <c r="X43" s="32">
        <f t="shared" si="9"/>
        <v>14133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-3133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11000</v>
      </c>
      <c r="X44" s="32">
        <f t="shared" si="9"/>
        <v>14133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-3133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11000</v>
      </c>
      <c r="X45" s="32">
        <f t="shared" si="9"/>
        <v>14133</v>
      </c>
      <c r="Y45" s="131" t="s">
        <v>98</v>
      </c>
      <c r="Z45" s="132">
        <v>9600</v>
      </c>
      <c r="AA45" s="133">
        <f>+H12+H13+H37+H38</f>
        <v>17807</v>
      </c>
      <c r="AB45" s="133">
        <f>+I12+I13+I37+I38</f>
        <v>3000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-13133</v>
      </c>
      <c r="M46" s="29"/>
      <c r="N46" s="799"/>
      <c r="O46" s="30">
        <f t="shared" si="10"/>
        <v>0.47154241524025087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1000</v>
      </c>
      <c r="X46" s="32">
        <f t="shared" si="9"/>
        <v>14133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-13133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1000</v>
      </c>
      <c r="X47" s="32">
        <f t="shared" si="9"/>
        <v>14133</v>
      </c>
      <c r="Y47" s="57">
        <v>20000</v>
      </c>
      <c r="Z47" s="89">
        <v>4586</v>
      </c>
      <c r="AA47" s="35"/>
      <c r="AB47" s="57">
        <f>57000-AA60</f>
        <v>-2733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-13133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1000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-13133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1000</v>
      </c>
      <c r="X49" s="32">
        <f t="shared" si="9"/>
        <v>14133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-13133</v>
      </c>
      <c r="M50" s="95"/>
      <c r="N50" s="804">
        <f>SUM(K50:K55)</f>
        <v>1000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1000</v>
      </c>
      <c r="X50" s="32">
        <f t="shared" si="9"/>
        <v>14133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>
        <v>0</v>
      </c>
      <c r="J51" s="611"/>
      <c r="K51" s="27">
        <f t="shared" si="0"/>
        <v>0</v>
      </c>
      <c r="L51" s="28">
        <f t="shared" si="1"/>
        <v>-13133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1000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-13133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1000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1000</v>
      </c>
      <c r="I53" s="26"/>
      <c r="J53" s="26"/>
      <c r="K53" s="27">
        <f t="shared" si="0"/>
        <v>1000</v>
      </c>
      <c r="L53" s="28">
        <f>+L52-K53</f>
        <v>-14133</v>
      </c>
      <c r="M53" s="29"/>
      <c r="N53" s="799"/>
      <c r="O53" s="30">
        <f t="shared" si="10"/>
        <v>4.7154241524025087E-2</v>
      </c>
      <c r="P53" s="802"/>
      <c r="Q53" s="97">
        <f t="shared" si="11"/>
        <v>0</v>
      </c>
      <c r="R53" s="31"/>
      <c r="S53" s="28">
        <f t="shared" si="4"/>
        <v>1000</v>
      </c>
      <c r="T53" s="28">
        <f t="shared" si="5"/>
        <v>0</v>
      </c>
      <c r="U53" s="28">
        <f t="shared" si="6"/>
        <v>0</v>
      </c>
      <c r="V53" s="28">
        <f t="shared" si="7"/>
        <v>1000</v>
      </c>
      <c r="W53" s="31">
        <f t="shared" si="8"/>
        <v>0</v>
      </c>
      <c r="X53" s="32">
        <f t="shared" si="9"/>
        <v>14133</v>
      </c>
      <c r="Y53" s="80">
        <f>+Y52-15000</f>
        <v>-2513.5</v>
      </c>
      <c r="Z53" s="49">
        <f>+Z60-43000</f>
        <v>-22733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-14133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0</v>
      </c>
      <c r="X54" s="32">
        <f t="shared" si="9"/>
        <v>14133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-14133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0</v>
      </c>
      <c r="X55" s="119">
        <f t="shared" si="9"/>
        <v>14133</v>
      </c>
      <c r="Y55" s="807">
        <f>Z8</f>
        <v>41930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-14133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14133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-14133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-14133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30280</v>
      </c>
      <c r="AA58" s="182">
        <f>+AB3</f>
        <v>62017</v>
      </c>
      <c r="AB58" s="182">
        <f>Z12</f>
        <v>0</v>
      </c>
      <c r="AC58" s="181">
        <f>AB10</f>
        <v>0</v>
      </c>
      <c r="AD58" s="661">
        <f>SUM(Z58:AC58)</f>
        <v>92297</v>
      </c>
      <c r="AE58" s="185">
        <v>97040</v>
      </c>
      <c r="AF58" s="17"/>
      <c r="AG58" s="17"/>
      <c r="AI58" s="50"/>
      <c r="AJ58" s="50"/>
      <c r="AK58" s="722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-14133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165743</v>
      </c>
      <c r="AA59" s="182">
        <f>AC3</f>
        <v>164908</v>
      </c>
      <c r="AB59" s="182">
        <f>Z11</f>
        <v>0</v>
      </c>
      <c r="AC59" s="181">
        <v>0</v>
      </c>
      <c r="AD59" s="661">
        <f>SUM(Z59:AC59)</f>
        <v>330651</v>
      </c>
      <c r="AE59" s="185"/>
      <c r="AF59" s="17"/>
      <c r="AG59" s="51"/>
      <c r="AH59" s="19"/>
      <c r="AI59" s="50"/>
      <c r="AJ59" s="50"/>
      <c r="AK59" s="722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-14133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20267</v>
      </c>
      <c r="AA60" s="182">
        <f>+AD3+AH10</f>
        <v>59733</v>
      </c>
      <c r="AB60" s="191">
        <v>0</v>
      </c>
      <c r="AC60" s="181">
        <v>0</v>
      </c>
      <c r="AD60" s="662">
        <f>SUM(Z60:AC60)</f>
        <v>80000</v>
      </c>
      <c r="AE60" s="185"/>
      <c r="AF60" s="17"/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-14133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216290</v>
      </c>
      <c r="AA61" s="194">
        <f>SUM(AA58:AA60)</f>
        <v>286658</v>
      </c>
      <c r="AB61" s="194">
        <f>SUM(AB58:AB60)</f>
        <v>0</v>
      </c>
      <c r="AC61" s="194">
        <f>AB10</f>
        <v>0</v>
      </c>
      <c r="AD61" s="195">
        <f>SUM(AD58:AD60)</f>
        <v>502948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-14133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216892.38251726414</v>
      </c>
      <c r="AA62" s="200">
        <f>(AA58/$Z$28+(AA59/$Z$27)+(AA60/$Z$29))</f>
        <v>287456.8882941656</v>
      </c>
      <c r="AB62" s="200">
        <f>(AB58/$Z$28)+(AB59/$Z$27)</f>
        <v>0</v>
      </c>
      <c r="AC62" s="200">
        <f>AB9</f>
        <v>0</v>
      </c>
      <c r="AD62" s="201">
        <f>(AD58/$Z$28+(AD59/$Z$27)+(AD60/$Z$29))</f>
        <v>504349.27081142983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-14133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313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-14133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314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-14133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135162.19964000001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-14133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70466.850960000011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-14133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-14133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503000.83773453924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-14133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-14133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-14133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-14133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41930</v>
      </c>
      <c r="AA72" s="818" t="s">
        <v>118</v>
      </c>
      <c r="AB72" s="818"/>
      <c r="AC72" s="818"/>
      <c r="AD72" s="216">
        <v>9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-14133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9</v>
      </c>
      <c r="AA73" s="727" t="s">
        <v>120</v>
      </c>
      <c r="AB73" s="727"/>
      <c r="AC73" s="727"/>
      <c r="AD73" s="219">
        <f>24-AD72</f>
        <v>15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-14133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28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-14133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728" t="s">
        <v>121</v>
      </c>
      <c r="Z75" s="728" t="s">
        <v>122</v>
      </c>
      <c r="AA75" s="728" t="s">
        <v>123</v>
      </c>
      <c r="AB75" s="820" t="s">
        <v>124</v>
      </c>
      <c r="AC75" s="821"/>
      <c r="AD75" s="822"/>
      <c r="AE75" s="728" t="s">
        <v>125</v>
      </c>
      <c r="AF75" s="728" t="s">
        <v>126</v>
      </c>
      <c r="AG75" s="149"/>
      <c r="AH75" s="728" t="s">
        <v>121</v>
      </c>
      <c r="AI75" s="728"/>
      <c r="AJ75" s="214" t="s">
        <v>7</v>
      </c>
      <c r="AK75" s="236">
        <f>((+AD78-AA78)/$AD$73)*24</f>
        <v>98500.799999999988</v>
      </c>
      <c r="AL75" s="236">
        <f>AK75</f>
        <v>98500.799999999988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-14133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728"/>
      <c r="Z76" s="728"/>
      <c r="AA76" s="728"/>
      <c r="AB76" s="728"/>
      <c r="AC76" s="728"/>
      <c r="AD76" s="728"/>
      <c r="AE76" s="728"/>
      <c r="AF76" s="728"/>
      <c r="AG76" s="149"/>
      <c r="AH76" s="728"/>
      <c r="AI76" s="728"/>
      <c r="AJ76" s="214" t="s">
        <v>6</v>
      </c>
      <c r="AK76" s="236">
        <f>((+AD79-AA79)/$AD$73)*24</f>
        <v>328452.8</v>
      </c>
      <c r="AL76" s="236">
        <f>+AK76</f>
        <v>328452.8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-14133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728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28"/>
      <c r="AI77" s="78"/>
      <c r="AJ77" s="214" t="s">
        <v>8</v>
      </c>
      <c r="AK77" s="236">
        <f>((+AD80-AA80)/$AD$73)*24</f>
        <v>80382.400000000009</v>
      </c>
      <c r="AL77" s="236">
        <f>AK77</f>
        <v>80382.400000000009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-14133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>
        <v>86667</v>
      </c>
      <c r="AA78" s="225">
        <v>30734</v>
      </c>
      <c r="AB78" s="226">
        <f t="shared" ref="AB78:AC80" si="23">+Z58</f>
        <v>30280</v>
      </c>
      <c r="AC78" s="226">
        <f t="shared" si="23"/>
        <v>62017</v>
      </c>
      <c r="AD78" s="226">
        <f>+AB78+AC78+AB58+AC58</f>
        <v>92297</v>
      </c>
      <c r="AE78" s="519">
        <f>+((AD58/24)*$AD$73)+AA78</f>
        <v>88419.625</v>
      </c>
      <c r="AF78" s="227">
        <f>+AE78-AD78</f>
        <v>-3877.375</v>
      </c>
      <c r="AG78" s="212"/>
      <c r="AH78" s="214" t="s">
        <v>7</v>
      </c>
      <c r="AI78" s="446">
        <f>+AA78</f>
        <v>30734</v>
      </c>
      <c r="AK78" s="231">
        <f>+SUM(AK75:AK77)</f>
        <v>507336</v>
      </c>
      <c r="AL78" s="231">
        <f>+SUM(AL75:AL77)</f>
        <v>507336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-14133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>
        <v>333651</v>
      </c>
      <c r="AA79" s="225">
        <v>125368</v>
      </c>
      <c r="AB79" s="226">
        <f t="shared" si="23"/>
        <v>165743</v>
      </c>
      <c r="AC79" s="226">
        <f t="shared" si="23"/>
        <v>164908</v>
      </c>
      <c r="AD79" s="226">
        <f>+AB79+AC79+AB59</f>
        <v>330651</v>
      </c>
      <c r="AE79" s="519">
        <f>+((AD59/24)*$AD$73)+AA79</f>
        <v>332024.875</v>
      </c>
      <c r="AF79" s="227">
        <f>+AE79-AD79</f>
        <v>1373.875</v>
      </c>
      <c r="AG79" s="212"/>
      <c r="AH79" s="214" t="s">
        <v>6</v>
      </c>
      <c r="AI79" s="446">
        <f>+AA79</f>
        <v>125368</v>
      </c>
      <c r="AJ79" s="53"/>
      <c r="AK79" s="481">
        <f>Z10</f>
        <v>503001</v>
      </c>
      <c r="AL79" s="481">
        <f>AK79-AK78</f>
        <v>-4335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-14133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>
        <v>80000</v>
      </c>
      <c r="AA80" s="225">
        <v>29761</v>
      </c>
      <c r="AB80" s="226">
        <f t="shared" si="23"/>
        <v>20267</v>
      </c>
      <c r="AC80" s="226">
        <f t="shared" si="23"/>
        <v>59733</v>
      </c>
      <c r="AD80" s="226">
        <f>+AB80+AC80</f>
        <v>80000</v>
      </c>
      <c r="AE80" s="519">
        <f>+((AD60/24)*$AD$73)+AA80</f>
        <v>79761</v>
      </c>
      <c r="AF80" s="227">
        <f>+AE80-AD80</f>
        <v>-239</v>
      </c>
      <c r="AG80" s="149"/>
      <c r="AH80" s="214" t="s">
        <v>8</v>
      </c>
      <c r="AI80" s="447">
        <f>+AA80</f>
        <v>29761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-14133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500318</v>
      </c>
      <c r="AA81" s="230">
        <f t="shared" si="24"/>
        <v>185863</v>
      </c>
      <c r="AB81" s="229">
        <f t="shared" si="24"/>
        <v>216290</v>
      </c>
      <c r="AC81" s="229">
        <f t="shared" si="24"/>
        <v>286658</v>
      </c>
      <c r="AD81" s="229">
        <f t="shared" si="24"/>
        <v>502948</v>
      </c>
      <c r="AE81" s="229">
        <f t="shared" si="24"/>
        <v>500205.5</v>
      </c>
      <c r="AF81" s="227">
        <f>+SUM(AF78:AF80)</f>
        <v>-2742.5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-14133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-14133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-14133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-14133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-14133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185863</v>
      </c>
      <c r="AB86" s="337">
        <f>AA87-AA86</f>
        <v>86326.729166666686</v>
      </c>
      <c r="AC86" s="42">
        <f>AB86*24/5.5</f>
        <v>376698.45454545465</v>
      </c>
      <c r="AD86" s="338">
        <f>AC86+353111</f>
        <v>729809.45454545459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-14133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167248.00000000003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-14133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-14133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-14133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-14133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-14133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699">
        <f>(SUMIF($D$2:$D$57,"domiciliario",$I$2:$I$103))/1000</f>
        <v>18.920999999999999</v>
      </c>
      <c r="AB92" s="700">
        <f>(SUMIF($D$2:$D$57,"domiciliario",$T$2:$T$103))/1000</f>
        <v>18.920999999999999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-14133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-14133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701">
        <f>(SUMIF($D$2:$D$57,"gnv",$I$2:$I$103))/1000</f>
        <v>0.35899999999999999</v>
      </c>
      <c r="AB94" s="702">
        <f>(SUMIF($D$2:$D$57,"gnv",$T$2:$T$103))/1000</f>
        <v>0.35899999999999999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-14133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11</v>
      </c>
      <c r="AB95" s="702">
        <f>(SUMIF($D$2:$D$57,"termico",$T$2:$T$103)+SUMIF($D$2:$D$57,"electrico",$T$2:$T$103)+SUMIF($D$2:$D$57,"térmico",$T$2:$T$103))/1000</f>
        <v>11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-14133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-14133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705">
        <f>(SUMIF($D$2:$D$57,"domiciliario",$H$2:$H$103))/1000</f>
        <v>32.271999999999998</v>
      </c>
      <c r="AB97" s="706">
        <f>(SUMIF($D$2:$D$57,"domiciliario",$S$2:$S$103))/1000</f>
        <v>32.271999999999998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-14133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707">
        <f>(SUMIF($D$2:$D$57,"industrial",$H$2:$H$103))/1000</f>
        <v>35.140999999999998</v>
      </c>
      <c r="AB98" s="708">
        <f>(SUMIF($D$2:$D$57,"industrial",$S$2:$S$103))/1000</f>
        <v>35.140999999999998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-14133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-14133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98.33</v>
      </c>
      <c r="AB100" s="708">
        <f>(SUMIF($D$2:$D$57,"termico",$S$2:$S$103)+SUMIF($D$2:$D$57,"electrico",$S$2:$S$103)+SUMIF($D$2:$D$57,"térmico",$S$2:$S$103))/1000</f>
        <v>98.33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-14133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-14133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20.266999999999999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-14133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165743</v>
      </c>
      <c r="I105" s="252">
        <f>+SUM(I2:I103)</f>
        <v>30280</v>
      </c>
      <c r="J105" s="252">
        <f>+SUM(J2:J103)</f>
        <v>34400</v>
      </c>
      <c r="K105" s="252">
        <f>SUM(K2:K103)</f>
        <v>230423</v>
      </c>
      <c r="L105" s="253">
        <f>+L103</f>
        <v>-14133</v>
      </c>
      <c r="M105" s="252">
        <f>SUM(M2:M103)</f>
        <v>0</v>
      </c>
      <c r="N105" s="252">
        <f>SUM(N2:N103)</f>
        <v>230423</v>
      </c>
      <c r="O105" s="252"/>
      <c r="P105" s="252">
        <f>SUM(P2:P103)</f>
        <v>0</v>
      </c>
      <c r="Q105" s="252">
        <f>SUM(Q2:Q103)</f>
        <v>0</v>
      </c>
      <c r="R105" s="252">
        <f>SUM(R2:R103)</f>
        <v>-14133</v>
      </c>
      <c r="S105" s="252">
        <f>SUM(S2:S103)</f>
        <v>165743</v>
      </c>
      <c r="T105" s="252">
        <f>+SUM(T2:T103)</f>
        <v>30280</v>
      </c>
      <c r="U105" s="252">
        <f>SUM(U2:U103)</f>
        <v>20267</v>
      </c>
      <c r="V105" s="252">
        <f>SUM(V2:V103)</f>
        <v>216290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209923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2591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</mergeCells>
  <conditionalFormatting sqref="AA78">
    <cfRule type="cellIs" dxfId="79" priority="3" operator="lessThan">
      <formula>$AA$78</formula>
    </cfRule>
    <cfRule type="cellIs" dxfId="78" priority="5" operator="greaterThan">
      <formula>$AE$78</formula>
    </cfRule>
  </conditionalFormatting>
  <conditionalFormatting sqref="AA79">
    <cfRule type="cellIs" dxfId="77" priority="4" operator="greaterThan">
      <formula>$AE$79</formula>
    </cfRule>
  </conditionalFormatting>
  <conditionalFormatting sqref="AA80">
    <cfRule type="cellIs" dxfId="76" priority="2" operator="greaterThan">
      <formula>$AE$79</formula>
    </cfRule>
  </conditionalFormatting>
  <conditionalFormatting sqref="AU4:AU23">
    <cfRule type="cellIs" dxfId="7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50"/>
  </sheetPr>
  <dimension ref="A1:AX186"/>
  <sheetViews>
    <sheetView topLeftCell="Q42" zoomScale="80" zoomScaleNormal="80" workbookViewId="0">
      <selection activeCell="Z61" sqref="Z61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208959</v>
      </c>
      <c r="M2" s="29"/>
      <c r="N2" s="798">
        <f>SUM(K2:K26)</f>
        <v>211142</v>
      </c>
      <c r="O2" s="30">
        <f>+K2/$N$2</f>
        <v>1.4208447395591593E-2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208959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26" t="s">
        <v>31</v>
      </c>
      <c r="AE2" s="726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207859</v>
      </c>
      <c r="M3" s="29"/>
      <c r="N3" s="799"/>
      <c r="O3" s="30">
        <f t="shared" ref="O3:O29" si="2">+K3/$N$2</f>
        <v>5.2097640450502504E-3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207859</v>
      </c>
      <c r="X3" s="32">
        <f t="shared" ref="X3:X56" si="9">W3-L3</f>
        <v>0</v>
      </c>
      <c r="Y3" s="37" t="s">
        <v>34</v>
      </c>
      <c r="Z3" s="38">
        <f>ROUND((Z13*57%),0)</f>
        <v>281751</v>
      </c>
      <c r="AA3" s="39">
        <f>ROUND((+Z14*0.57),0)</f>
        <v>280970</v>
      </c>
      <c r="AB3" s="454">
        <v>43881</v>
      </c>
      <c r="AC3" s="455">
        <v>171126</v>
      </c>
      <c r="AD3" s="40">
        <v>65960</v>
      </c>
      <c r="AE3" s="41">
        <f>SUM(AB3:AD3)</f>
        <v>280967</v>
      </c>
      <c r="AF3" s="41">
        <f>AA3-AE3</f>
        <v>3</v>
      </c>
      <c r="AG3" s="641">
        <f>AA3-AB3-AC3-AD3</f>
        <v>3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1"/>
        <v>196666</v>
      </c>
      <c r="M4" s="29"/>
      <c r="N4" s="799"/>
      <c r="O4" s="30">
        <f t="shared" si="2"/>
        <v>5.3011717232952234E-2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11193</v>
      </c>
      <c r="U4" s="28">
        <f t="shared" si="6"/>
        <v>0</v>
      </c>
      <c r="V4" s="28">
        <f t="shared" si="7"/>
        <v>11193</v>
      </c>
      <c r="W4" s="31">
        <f t="shared" si="8"/>
        <v>196666</v>
      </c>
      <c r="X4" s="32">
        <f t="shared" si="9"/>
        <v>0</v>
      </c>
      <c r="Y4" s="37" t="s">
        <v>38</v>
      </c>
      <c r="Z4" s="38">
        <f>ROUND((Z13*43%),0)</f>
        <v>212549</v>
      </c>
      <c r="AA4" s="39">
        <f>ROUND((+Z14*0.43),0)</f>
        <v>211959</v>
      </c>
      <c r="AB4" s="43">
        <f>T105</f>
        <v>22307</v>
      </c>
      <c r="AC4" s="43">
        <f>S105</f>
        <v>177642</v>
      </c>
      <c r="AD4" s="40">
        <f>U105</f>
        <v>12010</v>
      </c>
      <c r="AE4" s="41">
        <f>SUM(AB4:AD4)</f>
        <v>211959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195466</v>
      </c>
      <c r="M5" s="29"/>
      <c r="N5" s="799"/>
      <c r="O5" s="30">
        <f t="shared" si="2"/>
        <v>5.683378958236637E-3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195466</v>
      </c>
      <c r="X5" s="32">
        <f t="shared" si="9"/>
        <v>0</v>
      </c>
      <c r="Y5" s="44" t="s">
        <v>41</v>
      </c>
      <c r="Z5" s="38">
        <f>SUM(Z3:Z4)</f>
        <v>494300</v>
      </c>
      <c r="AA5" s="45">
        <f>SUM(AA3:AA4)</f>
        <v>492929</v>
      </c>
      <c r="AB5" s="46">
        <f>SUM(AB3:AB4)</f>
        <v>66188</v>
      </c>
      <c r="AC5" s="41">
        <f>SUM(AC3:AC4)</f>
        <v>348768</v>
      </c>
      <c r="AD5" s="40">
        <f>SUM(AD3:AD4)</f>
        <v>77970</v>
      </c>
      <c r="AE5" s="41">
        <f>SUM(AB5:AD5)</f>
        <v>492926</v>
      </c>
      <c r="AF5" s="47">
        <f>SUM(AF3:AF4)</f>
        <v>3</v>
      </c>
      <c r="AG5" s="642">
        <f>SUM(AG3:AG4)</f>
        <v>3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183466</v>
      </c>
      <c r="M6" s="29"/>
      <c r="N6" s="799"/>
      <c r="O6" s="30">
        <f t="shared" si="2"/>
        <v>5.6833789582366373E-2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183466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12036+1940</f>
        <v>13976</v>
      </c>
      <c r="I7" s="518">
        <f>800+2764+460</f>
        <v>4024</v>
      </c>
      <c r="J7" s="26"/>
      <c r="K7" s="27">
        <f t="shared" si="0"/>
        <v>18000</v>
      </c>
      <c r="L7" s="28">
        <f t="shared" si="1"/>
        <v>165466</v>
      </c>
      <c r="M7" s="29"/>
      <c r="N7" s="799"/>
      <c r="O7" s="30">
        <f t="shared" si="2"/>
        <v>8.525068437354956E-2</v>
      </c>
      <c r="P7" s="802"/>
      <c r="Q7" s="31">
        <f t="shared" si="3"/>
        <v>0</v>
      </c>
      <c r="R7" s="31"/>
      <c r="S7" s="28">
        <f t="shared" si="4"/>
        <v>13976</v>
      </c>
      <c r="T7" s="28">
        <f t="shared" si="5"/>
        <v>4024</v>
      </c>
      <c r="U7" s="28">
        <f t="shared" si="6"/>
        <v>0</v>
      </c>
      <c r="V7" s="28">
        <f t="shared" si="7"/>
        <v>18000</v>
      </c>
      <c r="W7" s="31">
        <f t="shared" si="8"/>
        <v>165466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20360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162966</v>
      </c>
      <c r="M8" s="29"/>
      <c r="N8" s="799"/>
      <c r="O8" s="30">
        <f t="shared" si="2"/>
        <v>1.184037282965966E-2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162966</v>
      </c>
      <c r="X8" s="32">
        <f t="shared" si="9"/>
        <v>0</v>
      </c>
      <c r="Y8" s="14" t="s">
        <v>47</v>
      </c>
      <c r="Z8" s="54">
        <v>41931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681</v>
      </c>
      <c r="I9" s="518">
        <v>1519</v>
      </c>
      <c r="J9" s="26"/>
      <c r="K9" s="27">
        <f t="shared" si="0"/>
        <v>2200</v>
      </c>
      <c r="L9" s="28">
        <f t="shared" si="1"/>
        <v>160766</v>
      </c>
      <c r="M9" s="29"/>
      <c r="N9" s="799"/>
      <c r="O9" s="30">
        <f t="shared" si="2"/>
        <v>1.0419528090100501E-2</v>
      </c>
      <c r="P9" s="802"/>
      <c r="Q9" s="31">
        <f t="shared" si="3"/>
        <v>0</v>
      </c>
      <c r="R9" s="31"/>
      <c r="S9" s="28">
        <f t="shared" si="4"/>
        <v>681</v>
      </c>
      <c r="T9" s="28">
        <f t="shared" si="5"/>
        <v>1519</v>
      </c>
      <c r="U9" s="28">
        <f t="shared" si="6"/>
        <v>0</v>
      </c>
      <c r="V9" s="28">
        <f t="shared" si="7"/>
        <v>2200</v>
      </c>
      <c r="W9" s="31">
        <f t="shared" si="8"/>
        <v>160766</v>
      </c>
      <c r="X9" s="32">
        <f t="shared" si="9"/>
        <v>0</v>
      </c>
      <c r="Y9" s="14" t="s">
        <v>189</v>
      </c>
      <c r="Z9" s="58">
        <v>494300</v>
      </c>
      <c r="AA9" s="59">
        <f>Z9*14.65/14.73</f>
        <v>491615.41072640865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26"/>
      <c r="J10" s="26"/>
      <c r="K10" s="27">
        <f t="shared" si="0"/>
        <v>20000</v>
      </c>
      <c r="L10" s="28">
        <f t="shared" si="1"/>
        <v>140766</v>
      </c>
      <c r="M10" s="29"/>
      <c r="N10" s="799"/>
      <c r="O10" s="30">
        <f t="shared" si="2"/>
        <v>9.4722982637277284E-2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140766</v>
      </c>
      <c r="X10" s="32">
        <f t="shared" si="9"/>
        <v>0</v>
      </c>
      <c r="Y10" s="14" t="s">
        <v>191</v>
      </c>
      <c r="Z10" s="58">
        <f>ROUND((Z9*Z30),0)</f>
        <v>492929</v>
      </c>
      <c r="AA10" s="59">
        <f>Z10*14.65/14.73</f>
        <v>490251.85675492196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122766</v>
      </c>
      <c r="M11" s="29"/>
      <c r="N11" s="799"/>
      <c r="O11" s="30">
        <f t="shared" si="2"/>
        <v>8.525068437354956E-2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122766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119166</v>
      </c>
      <c r="M12" s="29"/>
      <c r="N12" s="799"/>
      <c r="O12" s="30">
        <f t="shared" si="2"/>
        <v>1.7050136874709913E-2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119166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1"/>
        <v>113166</v>
      </c>
      <c r="M13" s="29"/>
      <c r="N13" s="799"/>
      <c r="O13" s="30">
        <f t="shared" si="2"/>
        <v>2.8416894791183187E-2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113166</v>
      </c>
      <c r="X13" s="32">
        <f t="shared" si="9"/>
        <v>0</v>
      </c>
      <c r="Y13" s="14" t="s">
        <v>67</v>
      </c>
      <c r="Z13" s="67">
        <f>Z14/Z30</f>
        <v>494300.14613855828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26">
        <v>13249</v>
      </c>
      <c r="I14" s="26">
        <v>0</v>
      </c>
      <c r="J14" s="26"/>
      <c r="K14" s="27">
        <f t="shared" si="0"/>
        <v>13249</v>
      </c>
      <c r="L14" s="28">
        <f t="shared" si="1"/>
        <v>99917</v>
      </c>
      <c r="M14" s="29"/>
      <c r="N14" s="799"/>
      <c r="O14" s="30">
        <f t="shared" si="2"/>
        <v>6.2749239848064339E-2</v>
      </c>
      <c r="P14" s="802"/>
      <c r="Q14" s="31">
        <f t="shared" si="3"/>
        <v>0</v>
      </c>
      <c r="R14" s="31">
        <v>0</v>
      </c>
      <c r="S14" s="28">
        <f t="shared" si="4"/>
        <v>13249</v>
      </c>
      <c r="T14" s="28">
        <f t="shared" si="5"/>
        <v>0</v>
      </c>
      <c r="U14" s="28">
        <f t="shared" si="6"/>
        <v>0</v>
      </c>
      <c r="V14" s="28">
        <f t="shared" si="7"/>
        <v>13249</v>
      </c>
      <c r="W14" s="31">
        <f t="shared" si="8"/>
        <v>99917</v>
      </c>
      <c r="X14" s="32">
        <f t="shared" si="9"/>
        <v>0</v>
      </c>
      <c r="Y14" s="14" t="s">
        <v>70</v>
      </c>
      <c r="Z14" s="67">
        <f>+Z10-(Z11+Z12)</f>
        <v>492929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82717</v>
      </c>
      <c r="M15" s="29"/>
      <c r="N15" s="799"/>
      <c r="O15" s="30">
        <f t="shared" si="2"/>
        <v>8.1461765068058467E-2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82717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62217</v>
      </c>
      <c r="M16" s="29"/>
      <c r="N16" s="799"/>
      <c r="O16" s="30">
        <f t="shared" si="2"/>
        <v>9.7091057203209208E-2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62217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500</v>
      </c>
      <c r="I17" s="518">
        <v>3000</v>
      </c>
      <c r="J17" s="26"/>
      <c r="K17" s="27">
        <f t="shared" si="0"/>
        <v>3500</v>
      </c>
      <c r="L17" s="28">
        <f t="shared" si="1"/>
        <v>58717</v>
      </c>
      <c r="M17" s="29"/>
      <c r="N17" s="799"/>
      <c r="O17" s="30">
        <f t="shared" si="2"/>
        <v>1.6576521961523524E-2</v>
      </c>
      <c r="P17" s="802"/>
      <c r="Q17" s="31">
        <f t="shared" si="3"/>
        <v>0</v>
      </c>
      <c r="R17" s="31">
        <v>0</v>
      </c>
      <c r="S17" s="28">
        <f t="shared" si="4"/>
        <v>500</v>
      </c>
      <c r="T17" s="28">
        <f t="shared" si="5"/>
        <v>3000</v>
      </c>
      <c r="U17" s="28">
        <f t="shared" si="6"/>
        <v>0</v>
      </c>
      <c r="V17" s="28">
        <f t="shared" si="7"/>
        <v>3500</v>
      </c>
      <c r="W17" s="31">
        <f t="shared" si="8"/>
        <v>58717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271</v>
      </c>
      <c r="J18" s="26"/>
      <c r="K18" s="27">
        <f t="shared" si="0"/>
        <v>271</v>
      </c>
      <c r="L18" s="28">
        <f t="shared" si="1"/>
        <v>58446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271</v>
      </c>
      <c r="U18" s="28">
        <f t="shared" si="6"/>
        <v>0</v>
      </c>
      <c r="V18" s="28">
        <f t="shared" si="7"/>
        <v>271</v>
      </c>
      <c r="W18" s="31">
        <f t="shared" si="8"/>
        <v>58446</v>
      </c>
      <c r="X18" s="32"/>
      <c r="Y18" s="14" t="s">
        <v>77</v>
      </c>
      <c r="Z18" s="71">
        <f>ROUND(Z14*0.43,0)</f>
        <v>211959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2229</v>
      </c>
      <c r="I19" s="26"/>
      <c r="J19" s="26"/>
      <c r="K19" s="27">
        <f t="shared" si="0"/>
        <v>2229</v>
      </c>
      <c r="L19" s="28">
        <f t="shared" si="1"/>
        <v>56217</v>
      </c>
      <c r="M19" s="29"/>
      <c r="N19" s="799"/>
      <c r="O19" s="30">
        <f t="shared" si="2"/>
        <v>1.0556876414924553E-2</v>
      </c>
      <c r="P19" s="802"/>
      <c r="Q19" s="31">
        <f t="shared" si="3"/>
        <v>0</v>
      </c>
      <c r="R19" s="31">
        <v>0</v>
      </c>
      <c r="S19" s="28">
        <f t="shared" si="4"/>
        <v>2229</v>
      </c>
      <c r="T19" s="28">
        <f t="shared" si="5"/>
        <v>0</v>
      </c>
      <c r="U19" s="28">
        <f t="shared" si="6"/>
        <v>0</v>
      </c>
      <c r="V19" s="28">
        <f t="shared" si="7"/>
        <v>2229</v>
      </c>
      <c r="W19" s="31">
        <f t="shared" si="8"/>
        <v>56217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54717</v>
      </c>
      <c r="M20" s="29"/>
      <c r="N20" s="799"/>
      <c r="O20" s="30">
        <f t="shared" si="2"/>
        <v>7.1042236977957966E-3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54717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54717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54717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47217</v>
      </c>
      <c r="M22" s="29"/>
      <c r="N22" s="799"/>
      <c r="O22" s="30">
        <f t="shared" si="2"/>
        <v>3.552111848897898E-2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47217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47217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47217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47217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47217</v>
      </c>
      <c r="X24" s="32">
        <f t="shared" si="9"/>
        <v>0</v>
      </c>
      <c r="Y24" s="74" t="s">
        <v>169</v>
      </c>
      <c r="Z24" s="680">
        <f>+Z18+Z19</f>
        <v>211959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35217</v>
      </c>
      <c r="M25" s="29"/>
      <c r="N25" s="799"/>
      <c r="O25" s="30">
        <f t="shared" si="2"/>
        <v>5.6833789582366373E-2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35217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817</v>
      </c>
      <c r="M26" s="86"/>
      <c r="N26" s="800"/>
      <c r="O26" s="87">
        <f t="shared" si="2"/>
        <v>0.16292353013611693</v>
      </c>
      <c r="P26" s="803"/>
      <c r="Q26" s="144">
        <f t="shared" si="3"/>
        <v>0</v>
      </c>
      <c r="R26" s="144">
        <v>-22390</v>
      </c>
      <c r="S26" s="423">
        <f t="shared" si="4"/>
        <v>0</v>
      </c>
      <c r="T26" s="423">
        <f t="shared" si="5"/>
        <v>0</v>
      </c>
      <c r="U26" s="423">
        <f t="shared" si="6"/>
        <v>12010</v>
      </c>
      <c r="V26" s="423">
        <f t="shared" si="7"/>
        <v>12010</v>
      </c>
      <c r="W26" s="144">
        <f t="shared" si="8"/>
        <v>23207</v>
      </c>
      <c r="X26" s="32">
        <f t="shared" si="9"/>
        <v>22390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817</v>
      </c>
      <c r="M27" s="95"/>
      <c r="N27" s="804">
        <f>SUM(K27:K49)</f>
        <v>21207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23207</v>
      </c>
      <c r="X27" s="32">
        <f t="shared" si="9"/>
        <v>22390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817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23207</v>
      </c>
      <c r="X28" s="32">
        <f t="shared" si="9"/>
        <v>22390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817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23207</v>
      </c>
      <c r="X29" s="32">
        <f t="shared" si="9"/>
        <v>22390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817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23207</v>
      </c>
      <c r="X30" s="32">
        <f t="shared" si="9"/>
        <v>22390</v>
      </c>
      <c r="Y30" s="74" t="s">
        <v>89</v>
      </c>
      <c r="Z30" s="682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817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23207</v>
      </c>
      <c r="X31" s="32">
        <f t="shared" si="9"/>
        <v>22390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817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23207</v>
      </c>
      <c r="X32" s="32">
        <f t="shared" si="9"/>
        <v>22390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817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23207</v>
      </c>
      <c r="X33" s="32">
        <f t="shared" si="9"/>
        <v>22390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817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23207</v>
      </c>
      <c r="X34" s="32">
        <f t="shared" si="9"/>
        <v>22390</v>
      </c>
      <c r="Y34" s="806"/>
      <c r="Z34" s="112">
        <v>80000</v>
      </c>
      <c r="AA34" s="113">
        <f>AD5-Z34</f>
        <v>-2030</v>
      </c>
      <c r="AB34" s="113">
        <f>Z34+AA34</f>
        <v>77970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817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23207</v>
      </c>
      <c r="X35" s="32">
        <f>W35-L35</f>
        <v>22390</v>
      </c>
      <c r="Y35" s="117" t="s">
        <v>56</v>
      </c>
      <c r="Z35" s="113">
        <f>Z34*43%</f>
        <v>34400</v>
      </c>
      <c r="AA35" s="113">
        <f>AD4-Z35</f>
        <v>-22390</v>
      </c>
      <c r="AB35" s="113">
        <f>Z35+AA35</f>
        <v>12010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817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23207</v>
      </c>
      <c r="X36" s="32">
        <f t="shared" si="9"/>
        <v>22390</v>
      </c>
      <c r="Y36" s="117" t="s">
        <v>60</v>
      </c>
      <c r="Z36" s="113">
        <f>Z34*57%</f>
        <v>45599.999999999993</v>
      </c>
      <c r="AA36" s="113">
        <f>AD3-Z36</f>
        <v>20360.000000000007</v>
      </c>
      <c r="AB36" s="113">
        <f>Z36+AA36</f>
        <v>65960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817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23207</v>
      </c>
      <c r="X37" s="32">
        <f t="shared" si="9"/>
        <v>22390</v>
      </c>
      <c r="Y37" s="117" t="s">
        <v>94</v>
      </c>
      <c r="Z37" s="113">
        <f>+Z35+Z36</f>
        <v>80000</v>
      </c>
      <c r="AA37" s="113">
        <f>SUM(AA35:AA36)</f>
        <v>-2029.9999999999927</v>
      </c>
      <c r="AB37" s="113">
        <f>Z37+AA37</f>
        <v>77970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26"/>
      <c r="J38" s="26"/>
      <c r="K38" s="27">
        <f t="shared" si="0"/>
        <v>11207</v>
      </c>
      <c r="L38" s="28">
        <f>+L37-K38</f>
        <v>-10390</v>
      </c>
      <c r="M38" s="29"/>
      <c r="N38" s="799"/>
      <c r="O38" s="30">
        <f t="shared" si="10"/>
        <v>0.52845758475974913</v>
      </c>
      <c r="P38" s="802"/>
      <c r="Q38" s="31">
        <f t="shared" si="11"/>
        <v>0</v>
      </c>
      <c r="R38" s="31"/>
      <c r="S38" s="28">
        <f t="shared" si="4"/>
        <v>11207</v>
      </c>
      <c r="T38" s="28">
        <f t="shared" si="5"/>
        <v>0</v>
      </c>
      <c r="U38" s="28">
        <f t="shared" si="6"/>
        <v>0</v>
      </c>
      <c r="V38" s="28">
        <f t="shared" si="7"/>
        <v>11207</v>
      </c>
      <c r="W38" s="31">
        <f t="shared" si="8"/>
        <v>12000</v>
      </c>
      <c r="X38" s="32">
        <f t="shared" si="9"/>
        <v>22390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-10390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12000</v>
      </c>
      <c r="X39" s="32">
        <f t="shared" si="9"/>
        <v>22390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-10390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12000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-10390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12000</v>
      </c>
      <c r="X41" s="32">
        <f t="shared" si="9"/>
        <v>22390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-10390</v>
      </c>
      <c r="M42" s="29"/>
      <c r="N42" s="799"/>
      <c r="O42" s="30">
        <f t="shared" si="10"/>
        <v>0</v>
      </c>
      <c r="P42" s="802"/>
      <c r="Q42" s="31">
        <f t="shared" si="11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8"/>
        <v>12000</v>
      </c>
      <c r="X42" s="32">
        <f t="shared" si="9"/>
        <v>22390</v>
      </c>
      <c r="Y42" s="74" t="s">
        <v>96</v>
      </c>
      <c r="Z42" s="75">
        <v>35500</v>
      </c>
      <c r="AA42" s="129">
        <f>+H7+H8+H17+H18+H19+H22+H32+H33+H43+H44+H45+H53</f>
        <v>28705</v>
      </c>
      <c r="AB42" s="129">
        <f>+I7+I8+I17+I18+I19+I22+I32+I33+I43+I44+I45+I53</f>
        <v>7295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-10390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12000</v>
      </c>
      <c r="X43" s="32">
        <f t="shared" si="9"/>
        <v>22390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-10390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12000</v>
      </c>
      <c r="X44" s="32">
        <f t="shared" si="9"/>
        <v>22390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-10390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12000</v>
      </c>
      <c r="X45" s="32">
        <f t="shared" si="9"/>
        <v>22390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-20390</v>
      </c>
      <c r="M46" s="29"/>
      <c r="N46" s="799"/>
      <c r="O46" s="30">
        <f t="shared" si="10"/>
        <v>0.47154241524025087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2000</v>
      </c>
      <c r="X46" s="32">
        <f t="shared" si="9"/>
        <v>22390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-20390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2000</v>
      </c>
      <c r="X47" s="32">
        <f t="shared" si="9"/>
        <v>22390</v>
      </c>
      <c r="Y47" s="57">
        <v>20000</v>
      </c>
      <c r="Z47" s="89">
        <v>4586</v>
      </c>
      <c r="AA47" s="35"/>
      <c r="AB47" s="57">
        <f>57000-AA60</f>
        <v>-8960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-20390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2000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-20390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2000</v>
      </c>
      <c r="X49" s="32">
        <f t="shared" si="9"/>
        <v>22390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-20390</v>
      </c>
      <c r="M50" s="95"/>
      <c r="N50" s="804">
        <f>SUM(K50:K55)</f>
        <v>2000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2000</v>
      </c>
      <c r="X50" s="32">
        <f t="shared" si="9"/>
        <v>22390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>
        <v>0</v>
      </c>
      <c r="J51" s="611"/>
      <c r="K51" s="27">
        <f t="shared" si="0"/>
        <v>0</v>
      </c>
      <c r="L51" s="28">
        <f t="shared" si="1"/>
        <v>-20390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2000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-20390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2000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26"/>
      <c r="J53" s="26"/>
      <c r="K53" s="27">
        <f t="shared" si="0"/>
        <v>2000</v>
      </c>
      <c r="L53" s="28">
        <f>+L52-K53</f>
        <v>-22390</v>
      </c>
      <c r="M53" s="29"/>
      <c r="N53" s="799"/>
      <c r="O53" s="30">
        <f t="shared" si="10"/>
        <v>9.4308483048050173E-2</v>
      </c>
      <c r="P53" s="802"/>
      <c r="Q53" s="97">
        <f t="shared" si="11"/>
        <v>0</v>
      </c>
      <c r="R53" s="31"/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8"/>
        <v>0</v>
      </c>
      <c r="X53" s="32">
        <f t="shared" si="9"/>
        <v>22390</v>
      </c>
      <c r="Y53" s="80">
        <f>+Y52-15000</f>
        <v>-2513.5</v>
      </c>
      <c r="Z53" s="49">
        <f>+Z60-43000</f>
        <v>-30990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-22390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0</v>
      </c>
      <c r="X54" s="32">
        <f t="shared" si="9"/>
        <v>22390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-22390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0</v>
      </c>
      <c r="X55" s="119">
        <f t="shared" si="9"/>
        <v>22390</v>
      </c>
      <c r="Y55" s="807">
        <f>Z8</f>
        <v>41931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-22390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22390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-22390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-22390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22307</v>
      </c>
      <c r="AA58" s="182">
        <f>+AB3</f>
        <v>43881</v>
      </c>
      <c r="AB58" s="182">
        <f>Z12</f>
        <v>0</v>
      </c>
      <c r="AC58" s="181">
        <f>AB10</f>
        <v>0</v>
      </c>
      <c r="AD58" s="661">
        <f>SUM(Z58:AC58)</f>
        <v>66188</v>
      </c>
      <c r="AE58" s="185">
        <v>97040</v>
      </c>
      <c r="AF58" s="17"/>
      <c r="AG58" s="17"/>
      <c r="AI58" s="50"/>
      <c r="AJ58" s="50"/>
      <c r="AK58" s="722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-22390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177642</v>
      </c>
      <c r="AA59" s="182">
        <f>AC3</f>
        <v>171126</v>
      </c>
      <c r="AB59" s="182">
        <f>Z11</f>
        <v>0</v>
      </c>
      <c r="AC59" s="181">
        <v>0</v>
      </c>
      <c r="AD59" s="661">
        <f>SUM(Z59:AC59)</f>
        <v>348768</v>
      </c>
      <c r="AE59" s="185"/>
      <c r="AF59" s="17"/>
      <c r="AG59" s="51"/>
      <c r="AH59" s="19"/>
      <c r="AI59" s="50"/>
      <c r="AJ59" s="50"/>
      <c r="AK59" s="722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-22390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12010</v>
      </c>
      <c r="AA60" s="182">
        <f>+AD3+AH10</f>
        <v>65960</v>
      </c>
      <c r="AB60" s="191">
        <v>0</v>
      </c>
      <c r="AC60" s="181">
        <v>0</v>
      </c>
      <c r="AD60" s="662">
        <f>SUM(Z60:AC60)</f>
        <v>77970</v>
      </c>
      <c r="AE60" s="185"/>
      <c r="AF60" s="17"/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-22390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211959</v>
      </c>
      <c r="AA61" s="194">
        <f>SUM(AA58:AA60)</f>
        <v>280967</v>
      </c>
      <c r="AB61" s="194">
        <f>SUM(AB58:AB60)</f>
        <v>0</v>
      </c>
      <c r="AC61" s="194">
        <f>AB10</f>
        <v>0</v>
      </c>
      <c r="AD61" s="195">
        <f>SUM(AD58:AD60)</f>
        <v>492926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-22390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212549.65373652763</v>
      </c>
      <c r="AA62" s="200">
        <f>(AA58/$Z$28+(AA59/$Z$27)+(AA60/$Z$29))</f>
        <v>281754.83202998247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494304.48576651007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-22390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313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-22390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314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-22390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160073.87192000006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-22390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52014.378240000005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-22390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-22390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492928.85426681751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-22390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-22390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-22390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-22390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41931</v>
      </c>
      <c r="AA72" s="818" t="s">
        <v>118</v>
      </c>
      <c r="AB72" s="818"/>
      <c r="AC72" s="818"/>
      <c r="AD72" s="216">
        <v>9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-22390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9</v>
      </c>
      <c r="AA73" s="727" t="s">
        <v>120</v>
      </c>
      <c r="AB73" s="727"/>
      <c r="AC73" s="727"/>
      <c r="AD73" s="219">
        <f>24-AD72</f>
        <v>15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-22390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28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-22390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728" t="s">
        <v>121</v>
      </c>
      <c r="Z75" s="728" t="s">
        <v>122</v>
      </c>
      <c r="AA75" s="728" t="s">
        <v>123</v>
      </c>
      <c r="AB75" s="820" t="s">
        <v>124</v>
      </c>
      <c r="AC75" s="821"/>
      <c r="AD75" s="822"/>
      <c r="AE75" s="728" t="s">
        <v>125</v>
      </c>
      <c r="AF75" s="728" t="s">
        <v>126</v>
      </c>
      <c r="AG75" s="149"/>
      <c r="AH75" s="728" t="s">
        <v>121</v>
      </c>
      <c r="AI75" s="728"/>
      <c r="AJ75" s="214" t="s">
        <v>7</v>
      </c>
      <c r="AK75" s="236">
        <f>((+AD78-AA78)/$AD$73)*24</f>
        <v>56726.399999999994</v>
      </c>
      <c r="AL75" s="236">
        <f>AK75</f>
        <v>56726.399999999994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-22390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728"/>
      <c r="Z76" s="728"/>
      <c r="AA76" s="728"/>
      <c r="AB76" s="728"/>
      <c r="AC76" s="728"/>
      <c r="AD76" s="728"/>
      <c r="AE76" s="728"/>
      <c r="AF76" s="728"/>
      <c r="AG76" s="149"/>
      <c r="AH76" s="728"/>
      <c r="AI76" s="728"/>
      <c r="AJ76" s="214" t="s">
        <v>6</v>
      </c>
      <c r="AK76" s="236">
        <f>((+AD79-AA79)/$AD$73)*24</f>
        <v>357440</v>
      </c>
      <c r="AL76" s="236">
        <f>+AK76</f>
        <v>357440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-22390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728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28"/>
      <c r="AI77" s="78"/>
      <c r="AJ77" s="214" t="s">
        <v>8</v>
      </c>
      <c r="AK77" s="236">
        <f>((+AD80-AA80)/$AD$73)*24</f>
        <v>77134.399999999994</v>
      </c>
      <c r="AL77" s="236">
        <f>AK77</f>
        <v>77134.399999999994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-22390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>
        <v>86667</v>
      </c>
      <c r="AA78" s="225">
        <v>30734</v>
      </c>
      <c r="AB78" s="226">
        <f t="shared" ref="AB78:AC80" si="23">+Z58</f>
        <v>22307</v>
      </c>
      <c r="AC78" s="226">
        <f t="shared" si="23"/>
        <v>43881</v>
      </c>
      <c r="AD78" s="226">
        <f>+AB78+AC78+AB58+AC58</f>
        <v>66188</v>
      </c>
      <c r="AE78" s="519">
        <f>+((AD58/24)*$AD$73)+AA78</f>
        <v>72101.5</v>
      </c>
      <c r="AF78" s="227">
        <f>+AE78-AD78</f>
        <v>5913.5</v>
      </c>
      <c r="AG78" s="212"/>
      <c r="AH78" s="214" t="s">
        <v>7</v>
      </c>
      <c r="AI78" s="446">
        <f>+AA78</f>
        <v>30734</v>
      </c>
      <c r="AK78" s="231">
        <f>+SUM(AK75:AK77)</f>
        <v>491300.80000000005</v>
      </c>
      <c r="AL78" s="231">
        <f>+SUM(AL75:AL77)</f>
        <v>491300.80000000005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-22390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>
        <v>333651</v>
      </c>
      <c r="AA79" s="225">
        <v>125368</v>
      </c>
      <c r="AB79" s="226">
        <f t="shared" si="23"/>
        <v>177642</v>
      </c>
      <c r="AC79" s="226">
        <f t="shared" si="23"/>
        <v>171126</v>
      </c>
      <c r="AD79" s="226">
        <f>+AB79+AC79+AB59</f>
        <v>348768</v>
      </c>
      <c r="AE79" s="519">
        <f>+((AD59/24)*$AD$73)+AA79</f>
        <v>343348</v>
      </c>
      <c r="AF79" s="227">
        <f>+AE79-AD79</f>
        <v>-5420</v>
      </c>
      <c r="AG79" s="212"/>
      <c r="AH79" s="214" t="s">
        <v>6</v>
      </c>
      <c r="AI79" s="446">
        <f>+AA79</f>
        <v>125368</v>
      </c>
      <c r="AJ79" s="53"/>
      <c r="AK79" s="481">
        <f>Z10</f>
        <v>492929</v>
      </c>
      <c r="AL79" s="481">
        <f>AK79-AK78</f>
        <v>1628.1999999999534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-22390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>
        <v>80000</v>
      </c>
      <c r="AA80" s="225">
        <v>29761</v>
      </c>
      <c r="AB80" s="226">
        <f t="shared" si="23"/>
        <v>12010</v>
      </c>
      <c r="AC80" s="226">
        <f t="shared" si="23"/>
        <v>65960</v>
      </c>
      <c r="AD80" s="226">
        <f>+AB80+AC80</f>
        <v>77970</v>
      </c>
      <c r="AE80" s="519">
        <f>+((AD60/24)*$AD$73)+AA80</f>
        <v>78492.25</v>
      </c>
      <c r="AF80" s="227">
        <f>+AE80-AD80</f>
        <v>522.25</v>
      </c>
      <c r="AG80" s="149"/>
      <c r="AH80" s="214" t="s">
        <v>8</v>
      </c>
      <c r="AI80" s="447">
        <f>+AA80</f>
        <v>29761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-22390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500318</v>
      </c>
      <c r="AA81" s="230">
        <f t="shared" si="24"/>
        <v>185863</v>
      </c>
      <c r="AB81" s="229">
        <f t="shared" si="24"/>
        <v>211959</v>
      </c>
      <c r="AC81" s="229">
        <f t="shared" si="24"/>
        <v>280967</v>
      </c>
      <c r="AD81" s="229">
        <f t="shared" si="24"/>
        <v>492926</v>
      </c>
      <c r="AE81" s="229">
        <f t="shared" si="24"/>
        <v>493941.75</v>
      </c>
      <c r="AF81" s="227">
        <f>+SUM(AF78:AF80)</f>
        <v>1015.75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-22390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-22390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-22390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-22390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-22390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185863</v>
      </c>
      <c r="AB86" s="337">
        <f>AA87-AA86</f>
        <v>86326.729166666686</v>
      </c>
      <c r="AC86" s="42">
        <f>AB86*24/5.5</f>
        <v>376698.45454545465</v>
      </c>
      <c r="AD86" s="338">
        <f>AC86+353111</f>
        <v>729809.45454545459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-22390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167248.00000000003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-22390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-22390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-22390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-22390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-22390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699">
        <f>(SUMIF($D$2:$D$57,"domiciliario",$I$2:$I$103))/1000</f>
        <v>19.036000000000001</v>
      </c>
      <c r="AB92" s="700">
        <f>(SUMIF($D$2:$D$57,"domiciliario",$T$2:$T$103))/1000</f>
        <v>19.036000000000001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-22390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-22390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701">
        <f>(SUMIF($D$2:$D$57,"gnv",$I$2:$I$103))/1000</f>
        <v>0.27100000000000002</v>
      </c>
      <c r="AB94" s="702">
        <f>(SUMIF($D$2:$D$57,"gnv",$T$2:$T$103))/1000</f>
        <v>0.27100000000000002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-22390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3</v>
      </c>
      <c r="AB95" s="702">
        <f>(SUMIF($D$2:$D$57,"termico",$T$2:$T$103)+SUMIF($D$2:$D$57,"electrico",$T$2:$T$103)+SUMIF($D$2:$D$57,"térmico",$T$2:$T$103))/1000</f>
        <v>3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-22390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-22390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705">
        <f>(SUMIF($D$2:$D$57,"domiciliario",$H$2:$H$103))/1000</f>
        <v>32.156999999999996</v>
      </c>
      <c r="AB97" s="706">
        <f>(SUMIF($D$2:$D$57,"domiciliario",$S$2:$S$103))/1000</f>
        <v>32.156999999999996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-22390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707">
        <f>(SUMIF($D$2:$D$57,"industrial",$H$2:$H$103))/1000</f>
        <v>36.228999999999999</v>
      </c>
      <c r="AB98" s="708">
        <f>(SUMIF($D$2:$D$57,"industrial",$S$2:$S$103))/1000</f>
        <v>36.228999999999999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-22390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-22390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109.256</v>
      </c>
      <c r="AB100" s="708">
        <f>(SUMIF($D$2:$D$57,"termico",$S$2:$S$103)+SUMIF($D$2:$D$57,"electrico",$S$2:$S$103)+SUMIF($D$2:$D$57,"térmico",$S$2:$S$103))/1000</f>
        <v>109.256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-22390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-22390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12.01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-22390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177642</v>
      </c>
      <c r="I105" s="252">
        <f>+SUM(I2:I103)</f>
        <v>22307</v>
      </c>
      <c r="J105" s="252">
        <f>+SUM(J2:J103)</f>
        <v>34400</v>
      </c>
      <c r="K105" s="252">
        <f>SUM(K2:K103)</f>
        <v>234349</v>
      </c>
      <c r="L105" s="253">
        <f>+L103</f>
        <v>-22390</v>
      </c>
      <c r="M105" s="252">
        <f>SUM(M2:M103)</f>
        <v>0</v>
      </c>
      <c r="N105" s="252">
        <f>SUM(N2:N103)</f>
        <v>234349</v>
      </c>
      <c r="O105" s="252"/>
      <c r="P105" s="252">
        <f>SUM(P2:P103)</f>
        <v>0</v>
      </c>
      <c r="Q105" s="252">
        <f>SUM(Q2:Q103)</f>
        <v>0</v>
      </c>
      <c r="R105" s="252">
        <f>SUM(R2:R103)</f>
        <v>-22390</v>
      </c>
      <c r="S105" s="252">
        <f>SUM(S2:S103)</f>
        <v>177642</v>
      </c>
      <c r="T105" s="252">
        <f>+SUM(T2:T103)</f>
        <v>22307</v>
      </c>
      <c r="U105" s="252">
        <f>SUM(U2:U103)</f>
        <v>12010</v>
      </c>
      <c r="V105" s="252">
        <f>SUM(V2:V103)</f>
        <v>211959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213849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6517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</mergeCells>
  <conditionalFormatting sqref="AA78">
    <cfRule type="cellIs" dxfId="74" priority="3" operator="lessThan">
      <formula>$AA$78</formula>
    </cfRule>
    <cfRule type="cellIs" dxfId="73" priority="5" operator="greaterThan">
      <formula>$AE$78</formula>
    </cfRule>
  </conditionalFormatting>
  <conditionalFormatting sqref="AA79">
    <cfRule type="cellIs" dxfId="72" priority="4" operator="greaterThan">
      <formula>$AE$79</formula>
    </cfRule>
  </conditionalFormatting>
  <conditionalFormatting sqref="AA80">
    <cfRule type="cellIs" dxfId="71" priority="2" operator="greaterThan">
      <formula>$AE$79</formula>
    </cfRule>
  </conditionalFormatting>
  <conditionalFormatting sqref="AU4:AU23">
    <cfRule type="cellIs" dxfId="7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50"/>
  </sheetPr>
  <dimension ref="A1:AX186"/>
  <sheetViews>
    <sheetView topLeftCell="T1" zoomScale="85" zoomScaleNormal="85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208873</v>
      </c>
      <c r="M2" s="29"/>
      <c r="N2" s="798">
        <f>SUM(K2:K26)</f>
        <v>200059</v>
      </c>
      <c r="O2" s="30">
        <f>+K2/$N$2</f>
        <v>1.4995576304990028E-2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208873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26" t="s">
        <v>31</v>
      </c>
      <c r="AE2" s="726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207773</v>
      </c>
      <c r="M3" s="29"/>
      <c r="N3" s="799"/>
      <c r="O3" s="30">
        <f t="shared" ref="O3:O29" si="2">+K3/$N$2</f>
        <v>5.4983779784963435E-3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207773</v>
      </c>
      <c r="X3" s="32">
        <f t="shared" ref="X3:X56" si="9">W3-L3</f>
        <v>0</v>
      </c>
      <c r="Y3" s="37" t="s">
        <v>34</v>
      </c>
      <c r="Z3" s="38">
        <f>ROUND((Z13*57%),0)</f>
        <v>281637</v>
      </c>
      <c r="AA3" s="39">
        <f>ROUND((+Z14*0.57),0)</f>
        <v>280856</v>
      </c>
      <c r="AB3" s="454">
        <v>59920</v>
      </c>
      <c r="AC3" s="455">
        <v>176704</v>
      </c>
      <c r="AD3" s="40">
        <f>44177+55</f>
        <v>44232</v>
      </c>
      <c r="AE3" s="41">
        <f>SUM(AB3:AD3)</f>
        <v>280856</v>
      </c>
      <c r="AF3" s="41">
        <f>AA3-AE3</f>
        <v>0</v>
      </c>
      <c r="AG3" s="641">
        <f>AA3-AB3-AC3-AD3</f>
        <v>0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185373</v>
      </c>
      <c r="M4" s="29"/>
      <c r="N4" s="799"/>
      <c r="O4" s="30">
        <f t="shared" si="2"/>
        <v>0.11196696974392555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185373</v>
      </c>
      <c r="X4" s="32">
        <f t="shared" si="9"/>
        <v>0</v>
      </c>
      <c r="Y4" s="37" t="s">
        <v>38</v>
      </c>
      <c r="Z4" s="38">
        <f>ROUND((Z13*43%),0)</f>
        <v>212463</v>
      </c>
      <c r="AA4" s="39">
        <f>ROUND((+Z14*0.43),0)</f>
        <v>211873</v>
      </c>
      <c r="AB4" s="43">
        <f>T105</f>
        <v>60875</v>
      </c>
      <c r="AC4" s="43">
        <f>S105</f>
        <v>146784</v>
      </c>
      <c r="AD4" s="40">
        <f>U105</f>
        <v>4214</v>
      </c>
      <c r="AE4" s="41">
        <f>SUM(AB4:AD4)</f>
        <v>211873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184173</v>
      </c>
      <c r="M5" s="29"/>
      <c r="N5" s="799"/>
      <c r="O5" s="30">
        <f t="shared" si="2"/>
        <v>5.9982305219960109E-3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184173</v>
      </c>
      <c r="X5" s="32">
        <f t="shared" si="9"/>
        <v>0</v>
      </c>
      <c r="Y5" s="44" t="s">
        <v>41</v>
      </c>
      <c r="Z5" s="38">
        <f>SUM(Z3:Z4)</f>
        <v>494100</v>
      </c>
      <c r="AA5" s="45">
        <f>SUM(AA3:AA4)</f>
        <v>492729</v>
      </c>
      <c r="AB5" s="46">
        <f>SUM(AB3:AB4)</f>
        <v>120795</v>
      </c>
      <c r="AC5" s="41">
        <f>SUM(AC3:AC4)</f>
        <v>323488</v>
      </c>
      <c r="AD5" s="40">
        <f>SUM(AD3:AD4)</f>
        <v>48446</v>
      </c>
      <c r="AE5" s="41">
        <f>SUM(AB5:AD5)</f>
        <v>492729</v>
      </c>
      <c r="AF5" s="47">
        <f>SUM(AF3:AF4)</f>
        <v>0</v>
      </c>
      <c r="AG5" s="642">
        <f>SUM(AG3:AG4)</f>
        <v>0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172173</v>
      </c>
      <c r="M6" s="29"/>
      <c r="N6" s="799"/>
      <c r="O6" s="30">
        <f t="shared" si="2"/>
        <v>5.9982305219960112E-2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172173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12036+1940</f>
        <v>13976</v>
      </c>
      <c r="I7" s="518">
        <f>800+2764+460</f>
        <v>4024</v>
      </c>
      <c r="J7" s="26"/>
      <c r="K7" s="27">
        <f t="shared" si="0"/>
        <v>18000</v>
      </c>
      <c r="L7" s="28">
        <f t="shared" si="1"/>
        <v>154173</v>
      </c>
      <c r="M7" s="29"/>
      <c r="N7" s="799"/>
      <c r="O7" s="30">
        <f t="shared" si="2"/>
        <v>8.9973457829940165E-2</v>
      </c>
      <c r="P7" s="802"/>
      <c r="Q7" s="31">
        <f t="shared" si="3"/>
        <v>0</v>
      </c>
      <c r="R7" s="31"/>
      <c r="S7" s="28">
        <f t="shared" si="4"/>
        <v>13976</v>
      </c>
      <c r="T7" s="28">
        <f t="shared" si="5"/>
        <v>4024</v>
      </c>
      <c r="U7" s="28">
        <f t="shared" si="6"/>
        <v>0</v>
      </c>
      <c r="V7" s="28">
        <f t="shared" si="7"/>
        <v>18000</v>
      </c>
      <c r="W7" s="31">
        <f t="shared" si="8"/>
        <v>154173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-1368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151673</v>
      </c>
      <c r="M8" s="29"/>
      <c r="N8" s="799"/>
      <c r="O8" s="30">
        <f t="shared" si="2"/>
        <v>1.2496313587491689E-2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151673</v>
      </c>
      <c r="X8" s="32">
        <f t="shared" si="9"/>
        <v>0</v>
      </c>
      <c r="Y8" s="14" t="s">
        <v>47</v>
      </c>
      <c r="Z8" s="732">
        <v>41932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361</v>
      </c>
      <c r="I9" s="518">
        <v>1839</v>
      </c>
      <c r="J9" s="26"/>
      <c r="K9" s="27">
        <f t="shared" si="0"/>
        <v>2200</v>
      </c>
      <c r="L9" s="28">
        <f t="shared" si="1"/>
        <v>149473</v>
      </c>
      <c r="M9" s="29"/>
      <c r="N9" s="799"/>
      <c r="O9" s="30">
        <f t="shared" si="2"/>
        <v>1.0996755956992687E-2</v>
      </c>
      <c r="P9" s="802"/>
      <c r="Q9" s="31">
        <f t="shared" si="3"/>
        <v>0</v>
      </c>
      <c r="R9" s="31"/>
      <c r="S9" s="28">
        <f t="shared" si="4"/>
        <v>361</v>
      </c>
      <c r="T9" s="28">
        <f t="shared" si="5"/>
        <v>1839</v>
      </c>
      <c r="U9" s="28">
        <f t="shared" si="6"/>
        <v>0</v>
      </c>
      <c r="V9" s="28">
        <f t="shared" si="7"/>
        <v>2200</v>
      </c>
      <c r="W9" s="31">
        <f t="shared" si="8"/>
        <v>149473</v>
      </c>
      <c r="X9" s="32">
        <f t="shared" si="9"/>
        <v>0</v>
      </c>
      <c r="Y9" s="14" t="s">
        <v>189</v>
      </c>
      <c r="Z9" s="58">
        <v>494100</v>
      </c>
      <c r="AA9" s="59">
        <f>Z9*14.65/14.73</f>
        <v>491416.49694501015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26">
        <v>5000</v>
      </c>
      <c r="J10" s="26"/>
      <c r="K10" s="27">
        <f t="shared" si="0"/>
        <v>20000</v>
      </c>
      <c r="L10" s="28">
        <f t="shared" si="1"/>
        <v>129473</v>
      </c>
      <c r="M10" s="29"/>
      <c r="N10" s="799"/>
      <c r="O10" s="30">
        <f t="shared" si="2"/>
        <v>9.9970508699933514E-2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28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129473</v>
      </c>
      <c r="X10" s="32">
        <f t="shared" si="9"/>
        <v>0</v>
      </c>
      <c r="Y10" s="14" t="s">
        <v>191</v>
      </c>
      <c r="Z10" s="58">
        <f>ROUND((Z9*Z30),0)</f>
        <v>492729</v>
      </c>
      <c r="AA10" s="59">
        <f>Z10*14.65/14.73</f>
        <v>490052.94297352346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111473</v>
      </c>
      <c r="M11" s="29"/>
      <c r="N11" s="799"/>
      <c r="O11" s="30">
        <f t="shared" si="2"/>
        <v>8.9973457829940165E-2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111473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107873</v>
      </c>
      <c r="M12" s="29"/>
      <c r="N12" s="799"/>
      <c r="O12" s="30">
        <f t="shared" si="2"/>
        <v>1.7994691565988034E-2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107873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1"/>
        <v>101873</v>
      </c>
      <c r="M13" s="29"/>
      <c r="N13" s="799"/>
      <c r="O13" s="30">
        <f t="shared" si="2"/>
        <v>2.9991152609980056E-2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101873</v>
      </c>
      <c r="X13" s="32">
        <f t="shared" si="9"/>
        <v>0</v>
      </c>
      <c r="Y13" s="14" t="s">
        <v>67</v>
      </c>
      <c r="Z13" s="67">
        <f>Z14/Z30</f>
        <v>494099.58981254033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26">
        <v>5959</v>
      </c>
      <c r="I14" s="26">
        <v>0</v>
      </c>
      <c r="J14" s="26"/>
      <c r="K14" s="27">
        <f t="shared" si="0"/>
        <v>5959</v>
      </c>
      <c r="L14" s="28">
        <f t="shared" si="1"/>
        <v>95914</v>
      </c>
      <c r="M14" s="29"/>
      <c r="N14" s="799"/>
      <c r="O14" s="30">
        <f t="shared" si="2"/>
        <v>2.9786213067145191E-2</v>
      </c>
      <c r="P14" s="802"/>
      <c r="Q14" s="31">
        <f t="shared" si="3"/>
        <v>0</v>
      </c>
      <c r="R14" s="31">
        <v>0</v>
      </c>
      <c r="S14" s="28">
        <f t="shared" si="4"/>
        <v>5959</v>
      </c>
      <c r="T14" s="28">
        <f t="shared" si="5"/>
        <v>0</v>
      </c>
      <c r="U14" s="28">
        <f t="shared" si="6"/>
        <v>0</v>
      </c>
      <c r="V14" s="28">
        <f t="shared" si="7"/>
        <v>5959</v>
      </c>
      <c r="W14" s="31">
        <f t="shared" si="8"/>
        <v>95914</v>
      </c>
      <c r="X14" s="32">
        <f t="shared" si="9"/>
        <v>0</v>
      </c>
      <c r="Y14" s="14" t="s">
        <v>70</v>
      </c>
      <c r="Z14" s="67">
        <f>+Z10-(Z11+Z12)</f>
        <v>492729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78714</v>
      </c>
      <c r="M15" s="29"/>
      <c r="N15" s="799"/>
      <c r="O15" s="30">
        <f t="shared" si="2"/>
        <v>8.5974637481942826E-2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78714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5500</v>
      </c>
      <c r="I16" s="26"/>
      <c r="J16" s="26"/>
      <c r="K16" s="27">
        <f t="shared" si="0"/>
        <v>5500</v>
      </c>
      <c r="L16" s="28">
        <f t="shared" si="1"/>
        <v>73214</v>
      </c>
      <c r="M16" s="29"/>
      <c r="N16" s="799"/>
      <c r="O16" s="30">
        <f t="shared" si="2"/>
        <v>2.7491889892481719E-2</v>
      </c>
      <c r="P16" s="802"/>
      <c r="Q16" s="31">
        <v>0</v>
      </c>
      <c r="R16" s="31">
        <v>0</v>
      </c>
      <c r="S16" s="28">
        <f t="shared" si="4"/>
        <v>5500</v>
      </c>
      <c r="T16" s="28">
        <f t="shared" si="5"/>
        <v>0</v>
      </c>
      <c r="U16" s="28">
        <f t="shared" si="6"/>
        <v>0</v>
      </c>
      <c r="V16" s="28">
        <f t="shared" si="7"/>
        <v>5500</v>
      </c>
      <c r="W16" s="31">
        <f t="shared" si="8"/>
        <v>73214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5688</v>
      </c>
      <c r="J17" s="26"/>
      <c r="K17" s="27">
        <f t="shared" si="0"/>
        <v>5688</v>
      </c>
      <c r="L17" s="28">
        <f t="shared" si="1"/>
        <v>67526</v>
      </c>
      <c r="M17" s="29"/>
      <c r="N17" s="799"/>
      <c r="O17" s="30">
        <f t="shared" si="2"/>
        <v>2.8431612674261093E-2</v>
      </c>
      <c r="P17" s="802"/>
      <c r="Q17" s="31">
        <f t="shared" si="3"/>
        <v>0</v>
      </c>
      <c r="R17" s="31">
        <v>0</v>
      </c>
      <c r="S17" s="28">
        <f t="shared" si="4"/>
        <v>0</v>
      </c>
      <c r="T17" s="28">
        <f t="shared" si="5"/>
        <v>5688</v>
      </c>
      <c r="U17" s="28">
        <f t="shared" si="6"/>
        <v>0</v>
      </c>
      <c r="V17" s="28">
        <f t="shared" si="7"/>
        <v>5688</v>
      </c>
      <c r="W17" s="31">
        <f t="shared" si="8"/>
        <v>67526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312</v>
      </c>
      <c r="J18" s="26"/>
      <c r="K18" s="27">
        <f t="shared" si="0"/>
        <v>312</v>
      </c>
      <c r="L18" s="28">
        <f t="shared" si="1"/>
        <v>67214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312</v>
      </c>
      <c r="U18" s="28">
        <f t="shared" si="6"/>
        <v>0</v>
      </c>
      <c r="V18" s="28">
        <f t="shared" si="7"/>
        <v>312</v>
      </c>
      <c r="W18" s="31">
        <f t="shared" si="8"/>
        <v>67214</v>
      </c>
      <c r="X18" s="32"/>
      <c r="Y18" s="14" t="s">
        <v>77</v>
      </c>
      <c r="Z18" s="71">
        <f>ROUND(Z14*0.43,0)</f>
        <v>211873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/>
      <c r="I19" s="26"/>
      <c r="J19" s="26"/>
      <c r="K19" s="27">
        <f t="shared" si="0"/>
        <v>0</v>
      </c>
      <c r="L19" s="28">
        <f t="shared" si="1"/>
        <v>67214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67214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65714</v>
      </c>
      <c r="M20" s="29"/>
      <c r="N20" s="799"/>
      <c r="O20" s="30">
        <f t="shared" si="2"/>
        <v>7.497788152495014E-3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65714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65714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65714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3188</v>
      </c>
      <c r="I22" s="518">
        <v>4312</v>
      </c>
      <c r="J22" s="26"/>
      <c r="K22" s="27">
        <f t="shared" si="0"/>
        <v>7500</v>
      </c>
      <c r="L22" s="28">
        <f t="shared" si="1"/>
        <v>58214</v>
      </c>
      <c r="M22" s="29"/>
      <c r="N22" s="799"/>
      <c r="O22" s="30">
        <f t="shared" si="2"/>
        <v>3.7488940762475068E-2</v>
      </c>
      <c r="P22" s="802"/>
      <c r="Q22" s="31">
        <f t="shared" si="3"/>
        <v>0</v>
      </c>
      <c r="R22" s="31">
        <v>0</v>
      </c>
      <c r="S22" s="28">
        <f t="shared" si="4"/>
        <v>3188</v>
      </c>
      <c r="T22" s="28">
        <f t="shared" si="5"/>
        <v>4312</v>
      </c>
      <c r="U22" s="28">
        <f t="shared" si="6"/>
        <v>0</v>
      </c>
      <c r="V22" s="28">
        <f t="shared" si="7"/>
        <v>7500</v>
      </c>
      <c r="W22" s="31">
        <f t="shared" si="8"/>
        <v>58214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58214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58214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58214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58214</v>
      </c>
      <c r="X24" s="32">
        <f t="shared" si="9"/>
        <v>0</v>
      </c>
      <c r="Y24" s="74" t="s">
        <v>169</v>
      </c>
      <c r="Z24" s="680">
        <f>+Z18+Z19</f>
        <v>211873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46214</v>
      </c>
      <c r="M25" s="29"/>
      <c r="N25" s="799"/>
      <c r="O25" s="30">
        <f t="shared" si="2"/>
        <v>5.9982305219960112E-2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46214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11814</v>
      </c>
      <c r="M26" s="86"/>
      <c r="N26" s="800"/>
      <c r="O26" s="87">
        <f t="shared" si="2"/>
        <v>0.17194927496388565</v>
      </c>
      <c r="P26" s="803"/>
      <c r="Q26" s="144">
        <f t="shared" si="3"/>
        <v>0</v>
      </c>
      <c r="R26" s="144">
        <v>-30186</v>
      </c>
      <c r="S26" s="423">
        <f t="shared" si="4"/>
        <v>0</v>
      </c>
      <c r="T26" s="423">
        <f t="shared" si="5"/>
        <v>0</v>
      </c>
      <c r="U26" s="423">
        <f t="shared" si="6"/>
        <v>4214</v>
      </c>
      <c r="V26" s="423">
        <f t="shared" si="7"/>
        <v>4214</v>
      </c>
      <c r="W26" s="144">
        <f t="shared" si="8"/>
        <v>42000</v>
      </c>
      <c r="X26" s="32">
        <f t="shared" si="9"/>
        <v>30186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11814</v>
      </c>
      <c r="M27" s="95"/>
      <c r="N27" s="804">
        <f>SUM(K27:K49)</f>
        <v>25000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42000</v>
      </c>
      <c r="X27" s="32">
        <f t="shared" si="9"/>
        <v>30186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11814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42000</v>
      </c>
      <c r="X28" s="32">
        <f t="shared" si="9"/>
        <v>30186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11814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42000</v>
      </c>
      <c r="X29" s="32">
        <f t="shared" si="9"/>
        <v>30186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11814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42000</v>
      </c>
      <c r="X30" s="32">
        <f t="shared" si="9"/>
        <v>30186</v>
      </c>
      <c r="Y30" s="74" t="s">
        <v>89</v>
      </c>
      <c r="Z30" s="682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11814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42000</v>
      </c>
      <c r="X31" s="32">
        <f t="shared" si="9"/>
        <v>30186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11814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42000</v>
      </c>
      <c r="X32" s="32">
        <f t="shared" si="9"/>
        <v>30186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11814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42000</v>
      </c>
      <c r="X33" s="32">
        <f t="shared" si="9"/>
        <v>30186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11814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42000</v>
      </c>
      <c r="X34" s="32">
        <f t="shared" si="9"/>
        <v>30186</v>
      </c>
      <c r="Y34" s="806"/>
      <c r="Z34" s="112">
        <v>80000</v>
      </c>
      <c r="AA34" s="113">
        <f>AD5-Z34</f>
        <v>-31554</v>
      </c>
      <c r="AB34" s="113">
        <f>Z34+AA34</f>
        <v>48446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11814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42000</v>
      </c>
      <c r="X35" s="32">
        <f>W35-L35</f>
        <v>30186</v>
      </c>
      <c r="Y35" s="117" t="s">
        <v>56</v>
      </c>
      <c r="Z35" s="113">
        <f>Z34*43%</f>
        <v>34400</v>
      </c>
      <c r="AA35" s="113">
        <f>AD4-Z35</f>
        <v>-30186</v>
      </c>
      <c r="AB35" s="113">
        <f>Z35+AA35</f>
        <v>4214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11814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42000</v>
      </c>
      <c r="X36" s="32">
        <f t="shared" si="9"/>
        <v>30186</v>
      </c>
      <c r="Y36" s="117" t="s">
        <v>60</v>
      </c>
      <c r="Z36" s="113">
        <f>Z34*57%</f>
        <v>45599.999999999993</v>
      </c>
      <c r="AA36" s="113">
        <f>AD3-Z36</f>
        <v>-1367.9999999999927</v>
      </c>
      <c r="AB36" s="113">
        <f>Z36+AA36</f>
        <v>44232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11814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42000</v>
      </c>
      <c r="X37" s="32">
        <f t="shared" si="9"/>
        <v>30186</v>
      </c>
      <c r="Y37" s="117" t="s">
        <v>94</v>
      </c>
      <c r="Z37" s="113">
        <f>+Z35+Z36</f>
        <v>80000</v>
      </c>
      <c r="AA37" s="113">
        <f>SUM(AA35:AA36)</f>
        <v>-31553.999999999993</v>
      </c>
      <c r="AB37" s="113">
        <f>Z37+AA37</f>
        <v>48446.000000000007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/>
      <c r="I38" s="26"/>
      <c r="J38" s="26"/>
      <c r="K38" s="27">
        <f t="shared" si="0"/>
        <v>0</v>
      </c>
      <c r="L38" s="28">
        <f>+L37-K38</f>
        <v>11814</v>
      </c>
      <c r="M38" s="29"/>
      <c r="N38" s="799"/>
      <c r="O38" s="30">
        <f t="shared" si="10"/>
        <v>0</v>
      </c>
      <c r="P38" s="802"/>
      <c r="Q38" s="31">
        <f t="shared" si="11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8"/>
        <v>42000</v>
      </c>
      <c r="X38" s="32">
        <f t="shared" si="9"/>
        <v>30186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11814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42000</v>
      </c>
      <c r="X39" s="32">
        <f t="shared" si="9"/>
        <v>30186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11814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42000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11814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42000</v>
      </c>
      <c r="X41" s="32">
        <f t="shared" si="9"/>
        <v>30186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15000</v>
      </c>
      <c r="I42" s="26"/>
      <c r="J42" s="26"/>
      <c r="K42" s="27">
        <f t="shared" si="0"/>
        <v>15000</v>
      </c>
      <c r="L42" s="28">
        <f t="shared" si="1"/>
        <v>-3186</v>
      </c>
      <c r="M42" s="29"/>
      <c r="N42" s="799"/>
      <c r="O42" s="30">
        <f t="shared" si="10"/>
        <v>0.6</v>
      </c>
      <c r="P42" s="802"/>
      <c r="Q42" s="31">
        <f t="shared" si="11"/>
        <v>0</v>
      </c>
      <c r="R42" s="31"/>
      <c r="S42" s="28">
        <f t="shared" si="4"/>
        <v>15000</v>
      </c>
      <c r="T42" s="28">
        <f t="shared" si="5"/>
        <v>0</v>
      </c>
      <c r="U42" s="28">
        <f t="shared" si="6"/>
        <v>0</v>
      </c>
      <c r="V42" s="28">
        <f t="shared" si="7"/>
        <v>15000</v>
      </c>
      <c r="W42" s="31">
        <f t="shared" si="8"/>
        <v>27000</v>
      </c>
      <c r="X42" s="32">
        <f t="shared" si="9"/>
        <v>30186</v>
      </c>
      <c r="Y42" s="74" t="s">
        <v>96</v>
      </c>
      <c r="Z42" s="75">
        <v>35500</v>
      </c>
      <c r="AA42" s="129">
        <f>+H7+H8+H17+H18+H19+H22+H32+H33+H43+H44+H45+H53</f>
        <v>21664</v>
      </c>
      <c r="AB42" s="129">
        <f>+I7+I8+I17+I18+I19+I22+I32+I33+I43+I44+I45+I53</f>
        <v>14336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-3186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27000</v>
      </c>
      <c r="X43" s="32">
        <f t="shared" si="9"/>
        <v>30186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-3186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27000</v>
      </c>
      <c r="X44" s="32">
        <f t="shared" si="9"/>
        <v>30186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-3186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27000</v>
      </c>
      <c r="X45" s="32">
        <f t="shared" si="9"/>
        <v>30186</v>
      </c>
      <c r="Y45" s="131" t="s">
        <v>98</v>
      </c>
      <c r="Z45" s="132">
        <v>9600</v>
      </c>
      <c r="AA45" s="133">
        <f>+H12+H13+H37+H38</f>
        <v>9600</v>
      </c>
      <c r="AB45" s="133">
        <f>+I12+I13+I37+I38</f>
        <v>0</v>
      </c>
      <c r="AC45" s="133">
        <f>+AA45+AB45</f>
        <v>9600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-13186</v>
      </c>
      <c r="M46" s="29"/>
      <c r="N46" s="799"/>
      <c r="O46" s="30">
        <f t="shared" si="10"/>
        <v>0.4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17000</v>
      </c>
      <c r="X46" s="32">
        <f t="shared" si="9"/>
        <v>30186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-13186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17000</v>
      </c>
      <c r="X47" s="32">
        <f t="shared" si="9"/>
        <v>30186</v>
      </c>
      <c r="Y47" s="57">
        <v>20000</v>
      </c>
      <c r="Z47" s="89">
        <v>4586</v>
      </c>
      <c r="AA47" s="35"/>
      <c r="AB47" s="57">
        <f>57000-AA60</f>
        <v>12768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-13186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17000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-13186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17000</v>
      </c>
      <c r="X49" s="32">
        <f t="shared" si="9"/>
        <v>30186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-13186</v>
      </c>
      <c r="M50" s="95"/>
      <c r="N50" s="804">
        <f>SUM(K50:K55)</f>
        <v>17000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17000</v>
      </c>
      <c r="X50" s="32">
        <f t="shared" si="9"/>
        <v>30186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518">
        <v>15000</v>
      </c>
      <c r="J51" s="611"/>
      <c r="K51" s="27">
        <f t="shared" si="0"/>
        <v>15000</v>
      </c>
      <c r="L51" s="28">
        <f t="shared" si="1"/>
        <v>-28186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0</v>
      </c>
      <c r="T51" s="28">
        <f t="shared" si="5"/>
        <v>15000</v>
      </c>
      <c r="U51" s="28">
        <f t="shared" si="6"/>
        <v>0</v>
      </c>
      <c r="V51" s="28">
        <f t="shared" si="7"/>
        <v>15000</v>
      </c>
      <c r="W51" s="31">
        <f t="shared" si="8"/>
        <v>2000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-28186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2000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26"/>
      <c r="J53" s="26"/>
      <c r="K53" s="27">
        <f t="shared" si="0"/>
        <v>2000</v>
      </c>
      <c r="L53" s="28">
        <f>+L52-K53</f>
        <v>-30186</v>
      </c>
      <c r="M53" s="29"/>
      <c r="N53" s="799"/>
      <c r="O53" s="30">
        <f t="shared" si="10"/>
        <v>0.08</v>
      </c>
      <c r="P53" s="802"/>
      <c r="Q53" s="97">
        <f t="shared" si="11"/>
        <v>0</v>
      </c>
      <c r="R53" s="31"/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8"/>
        <v>0</v>
      </c>
      <c r="X53" s="32">
        <f t="shared" si="9"/>
        <v>30186</v>
      </c>
      <c r="Y53" s="80">
        <f>+Y52-15000</f>
        <v>-2513.5</v>
      </c>
      <c r="Z53" s="49">
        <f>+Z60-43000</f>
        <v>-38786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-30186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0</v>
      </c>
      <c r="X54" s="32">
        <f t="shared" si="9"/>
        <v>30186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-30186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0</v>
      </c>
      <c r="X55" s="119">
        <f t="shared" si="9"/>
        <v>30186</v>
      </c>
      <c r="Y55" s="807">
        <f>Z8</f>
        <v>41932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-30186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30186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-30186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-30186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60875</v>
      </c>
      <c r="AA58" s="182">
        <f>+AB3</f>
        <v>59920</v>
      </c>
      <c r="AB58" s="182">
        <f>Z12</f>
        <v>0</v>
      </c>
      <c r="AC58" s="181">
        <f>AB10</f>
        <v>0</v>
      </c>
      <c r="AD58" s="661">
        <f>SUM(Z58:AC58)</f>
        <v>120795</v>
      </c>
      <c r="AE58" s="185">
        <v>97040</v>
      </c>
      <c r="AF58" s="17"/>
      <c r="AG58" s="17"/>
      <c r="AI58" s="50"/>
      <c r="AJ58" s="50"/>
      <c r="AK58" s="722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-30186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146784</v>
      </c>
      <c r="AA59" s="182">
        <f>AC3</f>
        <v>176704</v>
      </c>
      <c r="AB59" s="182">
        <f>Z11</f>
        <v>0</v>
      </c>
      <c r="AC59" s="181">
        <v>0</v>
      </c>
      <c r="AD59" s="661">
        <f>SUM(Z59:AC59)</f>
        <v>323488</v>
      </c>
      <c r="AE59" s="185"/>
      <c r="AF59" s="17"/>
      <c r="AG59" s="51"/>
      <c r="AH59" s="19"/>
      <c r="AI59" s="50"/>
      <c r="AJ59" s="50"/>
      <c r="AK59" s="722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-30186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4214</v>
      </c>
      <c r="AA60" s="182">
        <f>+AD3+AH10</f>
        <v>44232</v>
      </c>
      <c r="AB60" s="191">
        <v>0</v>
      </c>
      <c r="AC60" s="181">
        <v>0</v>
      </c>
      <c r="AD60" s="662">
        <f>SUM(Z60:AC60)</f>
        <v>48446</v>
      </c>
      <c r="AE60" s="185"/>
      <c r="AF60" s="17"/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-30186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211873</v>
      </c>
      <c r="AA61" s="194">
        <f>SUM(AA58:AA60)</f>
        <v>280856</v>
      </c>
      <c r="AB61" s="194">
        <f>SUM(AB58:AB60)</f>
        <v>0</v>
      </c>
      <c r="AC61" s="194">
        <f>AB10</f>
        <v>0</v>
      </c>
      <c r="AD61" s="195">
        <f>SUM(AD58:AD60)</f>
        <v>492729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-30186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212453.90063141298</v>
      </c>
      <c r="AA62" s="200">
        <f>(AA58/$Z$28+(AA59/$Z$27)+(AA60/$Z$29))</f>
        <v>281636.62922098947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494090.52985240251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-30186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313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-30186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314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-30186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155874.22372000001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-30186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97590.094140000001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-30186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-30186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492729.40904963494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-30186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-30186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-30186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-30186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41932</v>
      </c>
      <c r="AA72" s="818" t="s">
        <v>118</v>
      </c>
      <c r="AB72" s="818"/>
      <c r="AC72" s="818"/>
      <c r="AD72" s="216">
        <v>9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-30186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9</v>
      </c>
      <c r="AA73" s="727" t="s">
        <v>120</v>
      </c>
      <c r="AB73" s="727"/>
      <c r="AC73" s="727"/>
      <c r="AD73" s="219">
        <f>24-AD72</f>
        <v>15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-30186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28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-30186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728" t="s">
        <v>121</v>
      </c>
      <c r="Z75" s="728" t="s">
        <v>122</v>
      </c>
      <c r="AA75" s="728" t="s">
        <v>123</v>
      </c>
      <c r="AB75" s="820" t="s">
        <v>124</v>
      </c>
      <c r="AC75" s="821"/>
      <c r="AD75" s="822"/>
      <c r="AE75" s="728" t="s">
        <v>125</v>
      </c>
      <c r="AF75" s="728" t="s">
        <v>126</v>
      </c>
      <c r="AG75" s="149"/>
      <c r="AH75" s="728" t="s">
        <v>121</v>
      </c>
      <c r="AI75" s="728"/>
      <c r="AJ75" s="214" t="s">
        <v>7</v>
      </c>
      <c r="AK75" s="236">
        <f>((+AD78-AA78)/$AD$73)*24</f>
        <v>144097.60000000001</v>
      </c>
      <c r="AL75" s="236">
        <f>AK75</f>
        <v>144097.60000000001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-30186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728"/>
      <c r="Z76" s="728"/>
      <c r="AA76" s="728"/>
      <c r="AB76" s="728"/>
      <c r="AC76" s="728"/>
      <c r="AD76" s="728"/>
      <c r="AE76" s="728"/>
      <c r="AF76" s="728"/>
      <c r="AG76" s="149"/>
      <c r="AH76" s="728"/>
      <c r="AI76" s="728"/>
      <c r="AJ76" s="214" t="s">
        <v>6</v>
      </c>
      <c r="AK76" s="236">
        <f>((+AD79-AA79)/$AD$73)*24</f>
        <v>316992</v>
      </c>
      <c r="AL76" s="236">
        <f>+AK76</f>
        <v>316992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-30186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728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28"/>
      <c r="AI77" s="78"/>
      <c r="AJ77" s="214" t="s">
        <v>8</v>
      </c>
      <c r="AK77" s="236">
        <f>((+AD80-AA80)/$AD$73)*24</f>
        <v>29896</v>
      </c>
      <c r="AL77" s="236">
        <f>AK77</f>
        <v>29896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-30186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>
        <v>86667</v>
      </c>
      <c r="AA78" s="225">
        <v>30734</v>
      </c>
      <c r="AB78" s="226">
        <f t="shared" ref="AB78:AC80" si="23">+Z58</f>
        <v>60875</v>
      </c>
      <c r="AC78" s="226">
        <f t="shared" si="23"/>
        <v>59920</v>
      </c>
      <c r="AD78" s="226">
        <f>+AB78+AC78+AB58+AC58</f>
        <v>120795</v>
      </c>
      <c r="AE78" s="519">
        <f>+((AD58/24)*$AD$73)+AA78</f>
        <v>106230.875</v>
      </c>
      <c r="AF78" s="227">
        <f>+AE78-AD78</f>
        <v>-14564.125</v>
      </c>
      <c r="AG78" s="212"/>
      <c r="AH78" s="214" t="s">
        <v>7</v>
      </c>
      <c r="AI78" s="446">
        <f>+AA78</f>
        <v>30734</v>
      </c>
      <c r="AK78" s="231">
        <f>+SUM(AK75:AK77)</f>
        <v>490985.6</v>
      </c>
      <c r="AL78" s="231">
        <f>+SUM(AL75:AL77)</f>
        <v>490985.6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-30186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>
        <v>333651</v>
      </c>
      <c r="AA79" s="225">
        <v>125368</v>
      </c>
      <c r="AB79" s="226">
        <f t="shared" si="23"/>
        <v>146784</v>
      </c>
      <c r="AC79" s="226">
        <f t="shared" si="23"/>
        <v>176704</v>
      </c>
      <c r="AD79" s="226">
        <f>+AB79+AC79+AB59</f>
        <v>323488</v>
      </c>
      <c r="AE79" s="519">
        <f>+((AD59/24)*$AD$73)+AA79</f>
        <v>327548</v>
      </c>
      <c r="AF79" s="227">
        <f>+AE79-AD79</f>
        <v>4060</v>
      </c>
      <c r="AG79" s="212"/>
      <c r="AH79" s="214" t="s">
        <v>6</v>
      </c>
      <c r="AI79" s="446">
        <f>+AA79</f>
        <v>125368</v>
      </c>
      <c r="AJ79" s="53"/>
      <c r="AK79" s="481">
        <f>Z10</f>
        <v>492729</v>
      </c>
      <c r="AL79" s="481">
        <f>AK79-AK78</f>
        <v>1743.4000000000233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-30186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>
        <v>80000</v>
      </c>
      <c r="AA80" s="225">
        <v>29761</v>
      </c>
      <c r="AB80" s="226">
        <f t="shared" si="23"/>
        <v>4214</v>
      </c>
      <c r="AC80" s="226">
        <f t="shared" si="23"/>
        <v>44232</v>
      </c>
      <c r="AD80" s="226">
        <f>+AB80+AC80</f>
        <v>48446</v>
      </c>
      <c r="AE80" s="519">
        <f>+((AD60/24)*$AD$73)+AA80</f>
        <v>60039.75</v>
      </c>
      <c r="AF80" s="227">
        <f>+AE80-AD80</f>
        <v>11593.75</v>
      </c>
      <c r="AG80" s="149"/>
      <c r="AH80" s="214" t="s">
        <v>8</v>
      </c>
      <c r="AI80" s="447">
        <f>+AA80</f>
        <v>29761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-30186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500318</v>
      </c>
      <c r="AA81" s="230">
        <f t="shared" si="24"/>
        <v>185863</v>
      </c>
      <c r="AB81" s="229">
        <f t="shared" si="24"/>
        <v>211873</v>
      </c>
      <c r="AC81" s="229">
        <f t="shared" si="24"/>
        <v>280856</v>
      </c>
      <c r="AD81" s="229">
        <f t="shared" si="24"/>
        <v>492729</v>
      </c>
      <c r="AE81" s="229">
        <f t="shared" si="24"/>
        <v>493818.625</v>
      </c>
      <c r="AF81" s="227">
        <f>+SUM(AF78:AF80)</f>
        <v>1089.625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-30186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-30186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-30186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-30186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-30186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185863</v>
      </c>
      <c r="AB86" s="337">
        <f>AA87-AA86</f>
        <v>86326.729166666686</v>
      </c>
      <c r="AC86" s="42">
        <f>AB86*24/5.5</f>
        <v>376698.45454545465</v>
      </c>
      <c r="AD86" s="338">
        <f>AC86+353111</f>
        <v>729809.45454545459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-30186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167248.00000000003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-30186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-30186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-30186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-30186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-30186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699">
        <f>(SUMIF($D$2:$D$57,"domiciliario",$I$2:$I$103))/1000</f>
        <v>30.562999999999999</v>
      </c>
      <c r="AB92" s="700">
        <f>(SUMIF($D$2:$D$57,"domiciliario",$T$2:$T$103))/1000</f>
        <v>30.562999999999999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-30186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-30186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701">
        <f>(SUMIF($D$2:$D$57,"gnv",$I$2:$I$103))/1000</f>
        <v>0.312</v>
      </c>
      <c r="AB94" s="702">
        <f>(SUMIF($D$2:$D$57,"gnv",$T$2:$T$103))/1000</f>
        <v>0.312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-30186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30</v>
      </c>
      <c r="AB95" s="702">
        <f>(SUMIF($D$2:$D$57,"termico",$T$2:$T$103)+SUMIF($D$2:$D$57,"electrico",$T$2:$T$103)+SUMIF($D$2:$D$57,"térmico",$T$2:$T$103))/1000</f>
        <v>30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-30186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-30186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705">
        <f>(SUMIF($D$2:$D$57,"domiciliario",$H$2:$H$103))/1000</f>
        <v>31.837</v>
      </c>
      <c r="AB97" s="706">
        <f>(SUMIF($D$2:$D$57,"domiciliario",$S$2:$S$103))/1000</f>
        <v>31.837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-30186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707">
        <f>(SUMIF($D$2:$D$57,"industrial",$H$2:$H$103))/1000</f>
        <v>19</v>
      </c>
      <c r="AB98" s="708">
        <f>(SUMIF($D$2:$D$57,"industrial",$S$2:$S$103))/1000</f>
        <v>19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-30186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-30186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95.947000000000003</v>
      </c>
      <c r="AB100" s="708">
        <f>(SUMIF($D$2:$D$57,"termico",$S$2:$S$103)+SUMIF($D$2:$D$57,"electrico",$S$2:$S$103)+SUMIF($D$2:$D$57,"térmico",$S$2:$S$103))/1000</f>
        <v>95.947000000000003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-30186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-30186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4.2140000000000004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-30186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146784</v>
      </c>
      <c r="I105" s="252">
        <f>+SUM(I2:I103)</f>
        <v>60875</v>
      </c>
      <c r="J105" s="252">
        <f>+SUM(J2:J103)</f>
        <v>34400</v>
      </c>
      <c r="K105" s="252">
        <f>SUM(K2:K103)</f>
        <v>242059</v>
      </c>
      <c r="L105" s="253">
        <f>+L103</f>
        <v>-30186</v>
      </c>
      <c r="M105" s="252">
        <f>SUM(M2:M103)</f>
        <v>0</v>
      </c>
      <c r="N105" s="252">
        <f>SUM(N2:N103)</f>
        <v>242059</v>
      </c>
      <c r="O105" s="252"/>
      <c r="P105" s="252">
        <f>SUM(P2:P103)</f>
        <v>0</v>
      </c>
      <c r="Q105" s="252">
        <f>SUM(Q2:Q103)</f>
        <v>0</v>
      </c>
      <c r="R105" s="252">
        <f>SUM(R2:R103)</f>
        <v>-30186</v>
      </c>
      <c r="S105" s="252">
        <f>SUM(S2:S103)</f>
        <v>146784</v>
      </c>
      <c r="T105" s="252">
        <f>+SUM(T2:T103)</f>
        <v>60875</v>
      </c>
      <c r="U105" s="252">
        <f>SUM(U2:U103)</f>
        <v>4214</v>
      </c>
      <c r="V105" s="252">
        <f>SUM(V2:V103)</f>
        <v>211873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221559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14227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</mergeCells>
  <conditionalFormatting sqref="AA78">
    <cfRule type="cellIs" dxfId="69" priority="3" operator="lessThan">
      <formula>$AA$78</formula>
    </cfRule>
    <cfRule type="cellIs" dxfId="68" priority="5" operator="greaterThan">
      <formula>$AE$78</formula>
    </cfRule>
  </conditionalFormatting>
  <conditionalFormatting sqref="AA79">
    <cfRule type="cellIs" dxfId="67" priority="4" operator="greaterThan">
      <formula>$AE$79</formula>
    </cfRule>
  </conditionalFormatting>
  <conditionalFormatting sqref="AA80">
    <cfRule type="cellIs" dxfId="66" priority="2" operator="greaterThan">
      <formula>$AE$79</formula>
    </cfRule>
  </conditionalFormatting>
  <conditionalFormatting sqref="AU4:AU23">
    <cfRule type="cellIs" dxfId="6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00B050"/>
  </sheetPr>
  <dimension ref="A1:AX186"/>
  <sheetViews>
    <sheetView topLeftCell="S34" zoomScale="85" zoomScaleNormal="85" workbookViewId="0">
      <selection activeCell="AG47" sqref="AG47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886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208873</v>
      </c>
      <c r="M2" s="29"/>
      <c r="N2" s="798">
        <f>SUM(K2:K26)</f>
        <v>200059</v>
      </c>
      <c r="O2" s="30">
        <f>+K2/$N$2</f>
        <v>1.4995576304990028E-2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208873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31" t="s">
        <v>31</v>
      </c>
      <c r="AE2" s="731" t="s">
        <v>9</v>
      </c>
      <c r="AF2" s="796"/>
      <c r="AG2" s="886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207773</v>
      </c>
      <c r="M3" s="29"/>
      <c r="N3" s="799"/>
      <c r="O3" s="30">
        <f t="shared" ref="O3:O29" si="2">+K3/$N$2</f>
        <v>5.4983779784963435E-3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207773</v>
      </c>
      <c r="X3" s="32">
        <f t="shared" ref="X3:X56" si="9">W3-L3</f>
        <v>0</v>
      </c>
      <c r="Y3" s="37" t="s">
        <v>34</v>
      </c>
      <c r="Z3" s="38">
        <f>ROUND((Z13*57%),0)</f>
        <v>281637</v>
      </c>
      <c r="AA3" s="39">
        <f>ROUND((+Z14*0.57),0)</f>
        <v>280856</v>
      </c>
      <c r="AB3" s="454">
        <v>59920</v>
      </c>
      <c r="AC3" s="455">
        <v>175704</v>
      </c>
      <c r="AD3" s="40">
        <f>44177+55+1000</f>
        <v>45232</v>
      </c>
      <c r="AE3" s="41">
        <f>SUM(AB3:AD3)</f>
        <v>280856</v>
      </c>
      <c r="AF3" s="41">
        <f>AA3-AE3</f>
        <v>0</v>
      </c>
      <c r="AG3" s="641">
        <f>AA3-AB3-AC3-AD3</f>
        <v>0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185373</v>
      </c>
      <c r="M4" s="29"/>
      <c r="N4" s="799"/>
      <c r="O4" s="30">
        <f t="shared" si="2"/>
        <v>0.11196696974392555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185373</v>
      </c>
      <c r="X4" s="32">
        <f t="shared" si="9"/>
        <v>0</v>
      </c>
      <c r="Y4" s="37" t="s">
        <v>38</v>
      </c>
      <c r="Z4" s="38">
        <f>ROUND((Z13*43%),0)</f>
        <v>212463</v>
      </c>
      <c r="AA4" s="39">
        <f>ROUND((+Z14*0.43),0)</f>
        <v>211873</v>
      </c>
      <c r="AB4" s="43">
        <f>T105</f>
        <v>60875</v>
      </c>
      <c r="AC4" s="43">
        <f>S105</f>
        <v>146784</v>
      </c>
      <c r="AD4" s="40">
        <f>U105</f>
        <v>4214</v>
      </c>
      <c r="AE4" s="41">
        <f>SUM(AB4:AD4)</f>
        <v>211873</v>
      </c>
      <c r="AF4" s="41">
        <f>AA4-AE4</f>
        <v>0</v>
      </c>
      <c r="AG4" s="641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184173</v>
      </c>
      <c r="M5" s="29"/>
      <c r="N5" s="799"/>
      <c r="O5" s="30">
        <f t="shared" si="2"/>
        <v>5.9982305219960109E-3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184173</v>
      </c>
      <c r="X5" s="32">
        <f t="shared" si="9"/>
        <v>0</v>
      </c>
      <c r="Y5" s="44" t="s">
        <v>41</v>
      </c>
      <c r="Z5" s="38">
        <f>SUM(Z3:Z4)</f>
        <v>494100</v>
      </c>
      <c r="AA5" s="45">
        <f>SUM(AA3:AA4)</f>
        <v>492729</v>
      </c>
      <c r="AB5" s="46">
        <f>SUM(AB3:AB4)</f>
        <v>120795</v>
      </c>
      <c r="AC5" s="41">
        <f>SUM(AC3:AC4)</f>
        <v>322488</v>
      </c>
      <c r="AD5" s="40">
        <f>SUM(AD3:AD4)</f>
        <v>49446</v>
      </c>
      <c r="AE5" s="41">
        <f>SUM(AB5:AD5)</f>
        <v>492729</v>
      </c>
      <c r="AF5" s="47">
        <f>SUM(AF3:AF4)</f>
        <v>0</v>
      </c>
      <c r="AG5" s="642">
        <f>SUM(AG3:AG4)</f>
        <v>0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172173</v>
      </c>
      <c r="M6" s="29"/>
      <c r="N6" s="799"/>
      <c r="O6" s="30">
        <f t="shared" si="2"/>
        <v>5.9982305219960112E-2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172173</v>
      </c>
      <c r="X6" s="32">
        <f t="shared" si="9"/>
        <v>0</v>
      </c>
      <c r="Z6" s="49">
        <f>5000*43%</f>
        <v>2150</v>
      </c>
      <c r="AA6" s="50"/>
      <c r="AB6" s="17"/>
      <c r="AC6" s="50"/>
      <c r="AD6" s="51"/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12036+1940</f>
        <v>13976</v>
      </c>
      <c r="I7" s="518">
        <f>800+2764+460</f>
        <v>4024</v>
      </c>
      <c r="J7" s="26"/>
      <c r="K7" s="27">
        <f t="shared" si="0"/>
        <v>18000</v>
      </c>
      <c r="L7" s="28">
        <f t="shared" si="1"/>
        <v>154173</v>
      </c>
      <c r="M7" s="29"/>
      <c r="N7" s="799"/>
      <c r="O7" s="30">
        <f t="shared" si="2"/>
        <v>8.9973457829940165E-2</v>
      </c>
      <c r="P7" s="802"/>
      <c r="Q7" s="31">
        <f t="shared" si="3"/>
        <v>0</v>
      </c>
      <c r="R7" s="31"/>
      <c r="S7" s="28">
        <f t="shared" si="4"/>
        <v>13976</v>
      </c>
      <c r="T7" s="28">
        <f t="shared" si="5"/>
        <v>4024</v>
      </c>
      <c r="U7" s="28">
        <f t="shared" si="6"/>
        <v>0</v>
      </c>
      <c r="V7" s="28">
        <f t="shared" si="7"/>
        <v>18000</v>
      </c>
      <c r="W7" s="31">
        <f t="shared" si="8"/>
        <v>154173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AD3-45600</f>
        <v>-368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151673</v>
      </c>
      <c r="M8" s="29"/>
      <c r="N8" s="799"/>
      <c r="O8" s="30">
        <f t="shared" si="2"/>
        <v>1.2496313587491689E-2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151673</v>
      </c>
      <c r="X8" s="32">
        <f t="shared" si="9"/>
        <v>0</v>
      </c>
      <c r="Y8" s="14" t="s">
        <v>47</v>
      </c>
      <c r="Z8" s="732">
        <v>41932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361</v>
      </c>
      <c r="I9" s="518">
        <v>1839</v>
      </c>
      <c r="J9" s="26"/>
      <c r="K9" s="27">
        <f t="shared" si="0"/>
        <v>2200</v>
      </c>
      <c r="L9" s="28">
        <f t="shared" si="1"/>
        <v>149473</v>
      </c>
      <c r="M9" s="29"/>
      <c r="N9" s="799"/>
      <c r="O9" s="30">
        <f t="shared" si="2"/>
        <v>1.0996755956992687E-2</v>
      </c>
      <c r="P9" s="802"/>
      <c r="Q9" s="31">
        <f t="shared" si="3"/>
        <v>0</v>
      </c>
      <c r="R9" s="31"/>
      <c r="S9" s="28">
        <f t="shared" si="4"/>
        <v>361</v>
      </c>
      <c r="T9" s="28">
        <f t="shared" si="5"/>
        <v>1839</v>
      </c>
      <c r="U9" s="28">
        <f t="shared" si="6"/>
        <v>0</v>
      </c>
      <c r="V9" s="28">
        <f t="shared" si="7"/>
        <v>2200</v>
      </c>
      <c r="W9" s="31">
        <f t="shared" si="8"/>
        <v>149473</v>
      </c>
      <c r="X9" s="32">
        <f t="shared" si="9"/>
        <v>0</v>
      </c>
      <c r="Y9" s="14" t="s">
        <v>189</v>
      </c>
      <c r="Z9" s="58">
        <v>494100</v>
      </c>
      <c r="AA9" s="59">
        <f>Z9*14.65/14.73</f>
        <v>491416.49694501015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26">
        <v>5000</v>
      </c>
      <c r="J10" s="26"/>
      <c r="K10" s="27">
        <f t="shared" si="0"/>
        <v>20000</v>
      </c>
      <c r="L10" s="28">
        <f t="shared" si="1"/>
        <v>129473</v>
      </c>
      <c r="M10" s="29"/>
      <c r="N10" s="799"/>
      <c r="O10" s="30">
        <f t="shared" si="2"/>
        <v>9.9970508699933514E-2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28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129473</v>
      </c>
      <c r="X10" s="32">
        <f t="shared" si="9"/>
        <v>0</v>
      </c>
      <c r="Y10" s="14" t="s">
        <v>191</v>
      </c>
      <c r="Z10" s="58">
        <f>ROUND((Z9*Z30),0)</f>
        <v>492729</v>
      </c>
      <c r="AA10" s="59">
        <f>Z10*14.65/14.73</f>
        <v>490052.94297352346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111473</v>
      </c>
      <c r="M11" s="29"/>
      <c r="N11" s="799"/>
      <c r="O11" s="30">
        <f t="shared" si="2"/>
        <v>8.9973457829940165E-2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111473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107873</v>
      </c>
      <c r="M12" s="29"/>
      <c r="N12" s="799"/>
      <c r="O12" s="30">
        <f t="shared" si="2"/>
        <v>1.7994691565988034E-2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107873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1"/>
        <v>101873</v>
      </c>
      <c r="M13" s="29"/>
      <c r="N13" s="799"/>
      <c r="O13" s="30">
        <f t="shared" si="2"/>
        <v>2.9991152609980056E-2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101873</v>
      </c>
      <c r="X13" s="32">
        <f t="shared" si="9"/>
        <v>0</v>
      </c>
      <c r="Y13" s="14" t="s">
        <v>67</v>
      </c>
      <c r="Z13" s="67">
        <f>Z14/Z30</f>
        <v>494099.58981254033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26">
        <v>5959</v>
      </c>
      <c r="I14" s="26">
        <v>0</v>
      </c>
      <c r="J14" s="26"/>
      <c r="K14" s="27">
        <f t="shared" si="0"/>
        <v>5959</v>
      </c>
      <c r="L14" s="28">
        <f t="shared" si="1"/>
        <v>95914</v>
      </c>
      <c r="M14" s="29"/>
      <c r="N14" s="799"/>
      <c r="O14" s="30">
        <f t="shared" si="2"/>
        <v>2.9786213067145191E-2</v>
      </c>
      <c r="P14" s="802"/>
      <c r="Q14" s="31">
        <f t="shared" si="3"/>
        <v>0</v>
      </c>
      <c r="R14" s="31">
        <v>0</v>
      </c>
      <c r="S14" s="28">
        <f t="shared" si="4"/>
        <v>5959</v>
      </c>
      <c r="T14" s="28">
        <f t="shared" si="5"/>
        <v>0</v>
      </c>
      <c r="U14" s="28">
        <f t="shared" si="6"/>
        <v>0</v>
      </c>
      <c r="V14" s="28">
        <f t="shared" si="7"/>
        <v>5959</v>
      </c>
      <c r="W14" s="31">
        <f t="shared" si="8"/>
        <v>95914</v>
      </c>
      <c r="X14" s="32">
        <f t="shared" si="9"/>
        <v>0</v>
      </c>
      <c r="Y14" s="14" t="s">
        <v>70</v>
      </c>
      <c r="Z14" s="67">
        <f>+Z10-(Z11+Z12)</f>
        <v>492729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78714</v>
      </c>
      <c r="M15" s="29"/>
      <c r="N15" s="799"/>
      <c r="O15" s="30">
        <f t="shared" si="2"/>
        <v>8.5974637481942826E-2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78714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5500</v>
      </c>
      <c r="I16" s="26"/>
      <c r="J16" s="26"/>
      <c r="K16" s="27">
        <f t="shared" si="0"/>
        <v>5500</v>
      </c>
      <c r="L16" s="28">
        <f t="shared" si="1"/>
        <v>73214</v>
      </c>
      <c r="M16" s="29"/>
      <c r="N16" s="799"/>
      <c r="O16" s="30">
        <f t="shared" si="2"/>
        <v>2.7491889892481719E-2</v>
      </c>
      <c r="P16" s="802"/>
      <c r="Q16" s="31">
        <v>0</v>
      </c>
      <c r="R16" s="31">
        <v>0</v>
      </c>
      <c r="S16" s="28">
        <f t="shared" si="4"/>
        <v>5500</v>
      </c>
      <c r="T16" s="28">
        <f t="shared" si="5"/>
        <v>0</v>
      </c>
      <c r="U16" s="28">
        <f t="shared" si="6"/>
        <v>0</v>
      </c>
      <c r="V16" s="28">
        <f t="shared" si="7"/>
        <v>5500</v>
      </c>
      <c r="W16" s="31">
        <f t="shared" si="8"/>
        <v>73214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5688</v>
      </c>
      <c r="J17" s="26"/>
      <c r="K17" s="27">
        <f t="shared" si="0"/>
        <v>5688</v>
      </c>
      <c r="L17" s="28">
        <f t="shared" si="1"/>
        <v>67526</v>
      </c>
      <c r="M17" s="29"/>
      <c r="N17" s="799"/>
      <c r="O17" s="30">
        <f t="shared" si="2"/>
        <v>2.8431612674261093E-2</v>
      </c>
      <c r="P17" s="802"/>
      <c r="Q17" s="31">
        <f t="shared" si="3"/>
        <v>0</v>
      </c>
      <c r="R17" s="31">
        <v>0</v>
      </c>
      <c r="S17" s="28">
        <f t="shared" si="4"/>
        <v>0</v>
      </c>
      <c r="T17" s="28">
        <f t="shared" si="5"/>
        <v>5688</v>
      </c>
      <c r="U17" s="28">
        <f t="shared" si="6"/>
        <v>0</v>
      </c>
      <c r="V17" s="28">
        <f t="shared" si="7"/>
        <v>5688</v>
      </c>
      <c r="W17" s="31">
        <f t="shared" si="8"/>
        <v>67526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312</v>
      </c>
      <c r="J18" s="26"/>
      <c r="K18" s="27">
        <f t="shared" si="0"/>
        <v>312</v>
      </c>
      <c r="L18" s="28">
        <f t="shared" si="1"/>
        <v>67214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312</v>
      </c>
      <c r="U18" s="28">
        <f t="shared" si="6"/>
        <v>0</v>
      </c>
      <c r="V18" s="28">
        <f t="shared" si="7"/>
        <v>312</v>
      </c>
      <c r="W18" s="31">
        <f t="shared" si="8"/>
        <v>67214</v>
      </c>
      <c r="X18" s="32"/>
      <c r="Y18" s="14" t="s">
        <v>77</v>
      </c>
      <c r="Z18" s="71">
        <f>ROUND(Z14*0.43,0)</f>
        <v>211873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/>
      <c r="I19" s="26"/>
      <c r="J19" s="26"/>
      <c r="K19" s="27">
        <f t="shared" si="0"/>
        <v>0</v>
      </c>
      <c r="L19" s="28">
        <f t="shared" si="1"/>
        <v>67214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67214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65714</v>
      </c>
      <c r="M20" s="29"/>
      <c r="N20" s="799"/>
      <c r="O20" s="30">
        <f t="shared" si="2"/>
        <v>7.497788152495014E-3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65714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65714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65714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3188</v>
      </c>
      <c r="I22" s="518">
        <v>4312</v>
      </c>
      <c r="J22" s="26"/>
      <c r="K22" s="27">
        <f t="shared" si="0"/>
        <v>7500</v>
      </c>
      <c r="L22" s="28">
        <f t="shared" si="1"/>
        <v>58214</v>
      </c>
      <c r="M22" s="29"/>
      <c r="N22" s="799"/>
      <c r="O22" s="30">
        <f t="shared" si="2"/>
        <v>3.7488940762475068E-2</v>
      </c>
      <c r="P22" s="802"/>
      <c r="Q22" s="31">
        <f t="shared" si="3"/>
        <v>0</v>
      </c>
      <c r="R22" s="31">
        <v>0</v>
      </c>
      <c r="S22" s="28">
        <f t="shared" si="4"/>
        <v>3188</v>
      </c>
      <c r="T22" s="28">
        <f t="shared" si="5"/>
        <v>4312</v>
      </c>
      <c r="U22" s="28">
        <f t="shared" si="6"/>
        <v>0</v>
      </c>
      <c r="V22" s="28">
        <f t="shared" si="7"/>
        <v>7500</v>
      </c>
      <c r="W22" s="31">
        <f t="shared" si="8"/>
        <v>58214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58214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58214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58214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58214</v>
      </c>
      <c r="X24" s="32">
        <f t="shared" si="9"/>
        <v>0</v>
      </c>
      <c r="Y24" s="74" t="s">
        <v>169</v>
      </c>
      <c r="Z24" s="680">
        <f>+Z18+Z19</f>
        <v>211873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46214</v>
      </c>
      <c r="M25" s="29"/>
      <c r="N25" s="799"/>
      <c r="O25" s="30">
        <f t="shared" si="2"/>
        <v>5.9982305219960112E-2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46214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11814</v>
      </c>
      <c r="M26" s="86"/>
      <c r="N26" s="800"/>
      <c r="O26" s="87">
        <f t="shared" si="2"/>
        <v>0.17194927496388565</v>
      </c>
      <c r="P26" s="803"/>
      <c r="Q26" s="144">
        <f t="shared" si="3"/>
        <v>0</v>
      </c>
      <c r="R26" s="144">
        <v>-30186</v>
      </c>
      <c r="S26" s="423">
        <f t="shared" si="4"/>
        <v>0</v>
      </c>
      <c r="T26" s="423">
        <f t="shared" si="5"/>
        <v>0</v>
      </c>
      <c r="U26" s="423">
        <f t="shared" si="6"/>
        <v>4214</v>
      </c>
      <c r="V26" s="423">
        <f t="shared" si="7"/>
        <v>4214</v>
      </c>
      <c r="W26" s="144">
        <f t="shared" si="8"/>
        <v>42000</v>
      </c>
      <c r="X26" s="32">
        <f t="shared" si="9"/>
        <v>30186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11814</v>
      </c>
      <c r="M27" s="95"/>
      <c r="N27" s="804">
        <f>SUM(K27:K49)</f>
        <v>25000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42000</v>
      </c>
      <c r="X27" s="32">
        <f t="shared" si="9"/>
        <v>30186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11814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42000</v>
      </c>
      <c r="X28" s="32">
        <f t="shared" si="9"/>
        <v>30186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11814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42000</v>
      </c>
      <c r="X29" s="32">
        <f t="shared" si="9"/>
        <v>30186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11814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42000</v>
      </c>
      <c r="X30" s="32">
        <f t="shared" si="9"/>
        <v>30186</v>
      </c>
      <c r="Y30" s="74" t="s">
        <v>89</v>
      </c>
      <c r="Z30" s="682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11814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42000</v>
      </c>
      <c r="X31" s="32">
        <f t="shared" si="9"/>
        <v>30186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11814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42000</v>
      </c>
      <c r="X32" s="32">
        <f t="shared" si="9"/>
        <v>30186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11814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42000</v>
      </c>
      <c r="X33" s="32">
        <f t="shared" si="9"/>
        <v>30186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11814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42000</v>
      </c>
      <c r="X34" s="32">
        <f t="shared" si="9"/>
        <v>30186</v>
      </c>
      <c r="Y34" s="806"/>
      <c r="Z34" s="112">
        <v>80000</v>
      </c>
      <c r="AA34" s="113">
        <f>AD5-Z34</f>
        <v>-30554</v>
      </c>
      <c r="AB34" s="113">
        <f>Z34+AA34</f>
        <v>49446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11814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42000</v>
      </c>
      <c r="X35" s="32">
        <f>W35-L35</f>
        <v>30186</v>
      </c>
      <c r="Y35" s="117" t="s">
        <v>56</v>
      </c>
      <c r="Z35" s="113">
        <f>Z34*43%</f>
        <v>34400</v>
      </c>
      <c r="AA35" s="113">
        <f>AD4-Z35</f>
        <v>-30186</v>
      </c>
      <c r="AB35" s="113">
        <f>Z35+AA35</f>
        <v>4214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11814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42000</v>
      </c>
      <c r="X36" s="32">
        <f t="shared" si="9"/>
        <v>30186</v>
      </c>
      <c r="Y36" s="117" t="s">
        <v>60</v>
      </c>
      <c r="Z36" s="113">
        <f>Z34*57%</f>
        <v>45599.999999999993</v>
      </c>
      <c r="AA36" s="113">
        <f>AD3-Z36</f>
        <v>-367.99999999999272</v>
      </c>
      <c r="AB36" s="113">
        <f>Z36+AA36</f>
        <v>45232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11814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42000</v>
      </c>
      <c r="X37" s="32">
        <f t="shared" si="9"/>
        <v>30186</v>
      </c>
      <c r="Y37" s="117" t="s">
        <v>94</v>
      </c>
      <c r="Z37" s="113">
        <f>+Z35+Z36</f>
        <v>80000</v>
      </c>
      <c r="AA37" s="113">
        <f>SUM(AA35:AA36)</f>
        <v>-30553.999999999993</v>
      </c>
      <c r="AB37" s="113">
        <f>Z37+AA37</f>
        <v>49446.000000000007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/>
      <c r="I38" s="26"/>
      <c r="J38" s="26"/>
      <c r="K38" s="27">
        <f t="shared" si="0"/>
        <v>0</v>
      </c>
      <c r="L38" s="28">
        <f>+L37-K38</f>
        <v>11814</v>
      </c>
      <c r="M38" s="29"/>
      <c r="N38" s="799"/>
      <c r="O38" s="30">
        <f t="shared" si="10"/>
        <v>0</v>
      </c>
      <c r="P38" s="802"/>
      <c r="Q38" s="31">
        <f t="shared" si="11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8"/>
        <v>42000</v>
      </c>
      <c r="X38" s="32">
        <f t="shared" si="9"/>
        <v>30186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11814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42000</v>
      </c>
      <c r="X39" s="32">
        <f t="shared" si="9"/>
        <v>30186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11814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42000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11814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42000</v>
      </c>
      <c r="X41" s="32">
        <f t="shared" si="9"/>
        <v>30186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15000</v>
      </c>
      <c r="I42" s="26"/>
      <c r="J42" s="26"/>
      <c r="K42" s="27">
        <f t="shared" si="0"/>
        <v>15000</v>
      </c>
      <c r="L42" s="28">
        <f t="shared" si="1"/>
        <v>-3186</v>
      </c>
      <c r="M42" s="29"/>
      <c r="N42" s="799"/>
      <c r="O42" s="30">
        <f t="shared" si="10"/>
        <v>0.6</v>
      </c>
      <c r="P42" s="802"/>
      <c r="Q42" s="31">
        <f t="shared" si="11"/>
        <v>0</v>
      </c>
      <c r="R42" s="31"/>
      <c r="S42" s="28">
        <f t="shared" si="4"/>
        <v>15000</v>
      </c>
      <c r="T42" s="28">
        <f t="shared" si="5"/>
        <v>0</v>
      </c>
      <c r="U42" s="28">
        <f t="shared" si="6"/>
        <v>0</v>
      </c>
      <c r="V42" s="28">
        <f t="shared" si="7"/>
        <v>15000</v>
      </c>
      <c r="W42" s="31">
        <f t="shared" si="8"/>
        <v>27000</v>
      </c>
      <c r="X42" s="32">
        <f t="shared" si="9"/>
        <v>30186</v>
      </c>
      <c r="Y42" s="74" t="s">
        <v>96</v>
      </c>
      <c r="Z42" s="75">
        <v>35500</v>
      </c>
      <c r="AA42" s="129">
        <f>+H7+H8+H17+H18+H19+H22+H32+H33+H43+H44+H45+H53</f>
        <v>21664</v>
      </c>
      <c r="AB42" s="129">
        <f>+I7+I8+I17+I18+I19+I22+I32+I33+I43+I44+I45+I53</f>
        <v>14336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-3186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27000</v>
      </c>
      <c r="X43" s="32">
        <f t="shared" si="9"/>
        <v>30186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-3186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27000</v>
      </c>
      <c r="X44" s="32">
        <f t="shared" si="9"/>
        <v>30186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-3186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27000</v>
      </c>
      <c r="X45" s="32">
        <f t="shared" si="9"/>
        <v>30186</v>
      </c>
      <c r="Y45" s="131" t="s">
        <v>98</v>
      </c>
      <c r="Z45" s="132">
        <v>9600</v>
      </c>
      <c r="AA45" s="133">
        <f>+H12+H13+H37+H38</f>
        <v>9600</v>
      </c>
      <c r="AB45" s="133">
        <f>+I12+I13+I37+I38</f>
        <v>0</v>
      </c>
      <c r="AC45" s="133">
        <f>+AA45+AB45</f>
        <v>9600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-13186</v>
      </c>
      <c r="M46" s="29"/>
      <c r="N46" s="799"/>
      <c r="O46" s="30">
        <f t="shared" si="10"/>
        <v>0.4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17000</v>
      </c>
      <c r="X46" s="32">
        <f t="shared" si="9"/>
        <v>30186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-13186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17000</v>
      </c>
      <c r="X47" s="32">
        <f t="shared" si="9"/>
        <v>30186</v>
      </c>
      <c r="Y47" s="57">
        <v>20000</v>
      </c>
      <c r="Z47" s="89">
        <v>4586</v>
      </c>
      <c r="AA47" s="35"/>
      <c r="AB47" s="57">
        <f>57000-AA60</f>
        <v>11768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-13186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17000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-13186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17000</v>
      </c>
      <c r="X49" s="32">
        <f t="shared" si="9"/>
        <v>30186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-13186</v>
      </c>
      <c r="M50" s="95"/>
      <c r="N50" s="804">
        <f>SUM(K50:K55)</f>
        <v>17000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17000</v>
      </c>
      <c r="X50" s="32">
        <f t="shared" si="9"/>
        <v>30186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518">
        <v>15000</v>
      </c>
      <c r="J51" s="611"/>
      <c r="K51" s="27">
        <f t="shared" si="0"/>
        <v>15000</v>
      </c>
      <c r="L51" s="28">
        <f t="shared" si="1"/>
        <v>-28186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0</v>
      </c>
      <c r="T51" s="28">
        <f t="shared" si="5"/>
        <v>15000</v>
      </c>
      <c r="U51" s="28">
        <f t="shared" si="6"/>
        <v>0</v>
      </c>
      <c r="V51" s="28">
        <f t="shared" si="7"/>
        <v>15000</v>
      </c>
      <c r="W51" s="31">
        <f t="shared" si="8"/>
        <v>2000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-28186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2000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26"/>
      <c r="J53" s="26"/>
      <c r="K53" s="27">
        <f t="shared" si="0"/>
        <v>2000</v>
      </c>
      <c r="L53" s="28">
        <f>+L52-K53</f>
        <v>-30186</v>
      </c>
      <c r="M53" s="29"/>
      <c r="N53" s="799"/>
      <c r="O53" s="30">
        <f t="shared" si="10"/>
        <v>0.08</v>
      </c>
      <c r="P53" s="802"/>
      <c r="Q53" s="97">
        <f t="shared" si="11"/>
        <v>0</v>
      </c>
      <c r="R53" s="31"/>
      <c r="S53" s="28">
        <f t="shared" si="4"/>
        <v>2000</v>
      </c>
      <c r="T53" s="28">
        <f t="shared" si="5"/>
        <v>0</v>
      </c>
      <c r="U53" s="28">
        <f t="shared" si="6"/>
        <v>0</v>
      </c>
      <c r="V53" s="28">
        <f t="shared" si="7"/>
        <v>2000</v>
      </c>
      <c r="W53" s="31">
        <f t="shared" si="8"/>
        <v>0</v>
      </c>
      <c r="X53" s="32">
        <f t="shared" si="9"/>
        <v>30186</v>
      </c>
      <c r="Y53" s="80">
        <f>+Y52-15000</f>
        <v>-2513.5</v>
      </c>
      <c r="Z53" s="49">
        <f>+Z60-43000</f>
        <v>-38786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-30186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0</v>
      </c>
      <c r="X54" s="32">
        <f t="shared" si="9"/>
        <v>30186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-30186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0</v>
      </c>
      <c r="X55" s="119">
        <f t="shared" si="9"/>
        <v>30186</v>
      </c>
      <c r="Y55" s="807">
        <f>Z8</f>
        <v>41932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-30186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30186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-30186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-30186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60875</v>
      </c>
      <c r="AA58" s="182">
        <f>+AB3</f>
        <v>59920</v>
      </c>
      <c r="AB58" s="182">
        <f>Z12</f>
        <v>0</v>
      </c>
      <c r="AC58" s="181">
        <f>AB10</f>
        <v>0</v>
      </c>
      <c r="AD58" s="661">
        <f>SUM(Z58:AC58)</f>
        <v>120795</v>
      </c>
      <c r="AE58" s="185">
        <v>97040</v>
      </c>
      <c r="AF58" s="17"/>
      <c r="AG58" s="17"/>
      <c r="AI58" s="50"/>
      <c r="AJ58" s="50"/>
      <c r="AK58" s="722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-30186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146784</v>
      </c>
      <c r="AA59" s="182">
        <f>AC3</f>
        <v>175704</v>
      </c>
      <c r="AB59" s="182">
        <f>Z11</f>
        <v>0</v>
      </c>
      <c r="AC59" s="181">
        <v>0</v>
      </c>
      <c r="AD59" s="661">
        <f>SUM(Z59:AC59)</f>
        <v>322488</v>
      </c>
      <c r="AE59" s="185"/>
      <c r="AF59" s="17"/>
      <c r="AG59" s="51"/>
      <c r="AH59" s="19"/>
      <c r="AI59" s="50"/>
      <c r="AJ59" s="50"/>
      <c r="AK59" s="722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-30186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4214</v>
      </c>
      <c r="AA60" s="182">
        <f>+AD3+AH10</f>
        <v>45232</v>
      </c>
      <c r="AB60" s="191">
        <v>0</v>
      </c>
      <c r="AC60" s="181">
        <v>0</v>
      </c>
      <c r="AD60" s="662">
        <f>SUM(Z60:AC60)</f>
        <v>49446</v>
      </c>
      <c r="AE60" s="185"/>
      <c r="AF60" s="17"/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-30186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211873</v>
      </c>
      <c r="AA61" s="194">
        <f>SUM(AA58:AA60)</f>
        <v>280856</v>
      </c>
      <c r="AB61" s="194">
        <f>SUM(AB58:AB60)</f>
        <v>0</v>
      </c>
      <c r="AC61" s="194">
        <f>AB10</f>
        <v>0</v>
      </c>
      <c r="AD61" s="195">
        <f>SUM(AD58:AD60)</f>
        <v>492729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-30186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212453.90063141298</v>
      </c>
      <c r="AA62" s="200">
        <f>(AA58/$Z$28+(AA59/$Z$27)+(AA60/$Z$29))</f>
        <v>281636.78805407614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494090.68868548912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-30186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313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-30186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314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-30186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155874.22372000001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-30186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97590.094140000001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-30186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-30186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492729.40904963494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-30186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-30186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-30186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-30186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>Z8</f>
        <v>41932</v>
      </c>
      <c r="AA72" s="818" t="s">
        <v>118</v>
      </c>
      <c r="AB72" s="818"/>
      <c r="AC72" s="818"/>
      <c r="AD72" s="216">
        <v>8.5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-30186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8.5</v>
      </c>
      <c r="AA73" s="730" t="s">
        <v>120</v>
      </c>
      <c r="AB73" s="730"/>
      <c r="AC73" s="730"/>
      <c r="AD73" s="219">
        <f>24-AD72</f>
        <v>15.5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-30186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29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-30186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729" t="s">
        <v>121</v>
      </c>
      <c r="Z75" s="729" t="s">
        <v>122</v>
      </c>
      <c r="AA75" s="729" t="s">
        <v>123</v>
      </c>
      <c r="AB75" s="820" t="s">
        <v>124</v>
      </c>
      <c r="AC75" s="821"/>
      <c r="AD75" s="822"/>
      <c r="AE75" s="729" t="s">
        <v>125</v>
      </c>
      <c r="AF75" s="729" t="s">
        <v>126</v>
      </c>
      <c r="AG75" s="149"/>
      <c r="AH75" s="729" t="s">
        <v>121</v>
      </c>
      <c r="AI75" s="729"/>
      <c r="AJ75" s="214" t="s">
        <v>7</v>
      </c>
      <c r="AK75" s="236">
        <f>((+AD78-AA78)/$AD$73)*24</f>
        <v>120864</v>
      </c>
      <c r="AL75" s="236">
        <f>AK75</f>
        <v>120864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-30186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729"/>
      <c r="Z76" s="729"/>
      <c r="AA76" s="729"/>
      <c r="AB76" s="729"/>
      <c r="AC76" s="729"/>
      <c r="AD76" s="729"/>
      <c r="AE76" s="729"/>
      <c r="AF76" s="729"/>
      <c r="AG76" s="149"/>
      <c r="AH76" s="729"/>
      <c r="AI76" s="729"/>
      <c r="AJ76" s="214" t="s">
        <v>6</v>
      </c>
      <c r="AK76" s="236">
        <f>((+AD79-AA79)/$AD$73)*24</f>
        <v>328397.41935483873</v>
      </c>
      <c r="AL76" s="236">
        <f>+AK76</f>
        <v>328397.41935483873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-30186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729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29"/>
      <c r="AI77" s="78"/>
      <c r="AJ77" s="214" t="s">
        <v>8</v>
      </c>
      <c r="AK77" s="236">
        <f>((+AD80-AA80)/$AD$73)*24</f>
        <v>44513.032258064515</v>
      </c>
      <c r="AL77" s="236">
        <f>AK77</f>
        <v>44513.032258064515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-30186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>
        <v>120795</v>
      </c>
      <c r="AA78" s="225">
        <v>42737</v>
      </c>
      <c r="AB78" s="226">
        <f t="shared" ref="AB78:AC80" si="23">+Z58</f>
        <v>60875</v>
      </c>
      <c r="AC78" s="226">
        <f t="shared" si="23"/>
        <v>59920</v>
      </c>
      <c r="AD78" s="226">
        <f>+AB78+AC78+AB58+AC58</f>
        <v>120795</v>
      </c>
      <c r="AE78" s="519">
        <f>+((AD58/24)*$AD$73)+AA78</f>
        <v>120750.4375</v>
      </c>
      <c r="AF78" s="227">
        <f>+AE78-AD78</f>
        <v>-44.5625</v>
      </c>
      <c r="AG78" s="212"/>
      <c r="AH78" s="214" t="s">
        <v>7</v>
      </c>
      <c r="AI78" s="446">
        <f>+AA78</f>
        <v>42737</v>
      </c>
      <c r="AK78" s="231">
        <f>+SUM(AK75:AK77)</f>
        <v>493774.45161290327</v>
      </c>
      <c r="AL78" s="231">
        <f>+SUM(AL75:AL77)</f>
        <v>493774.45161290327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-30186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>
        <v>323488</v>
      </c>
      <c r="AA79" s="225">
        <v>110398</v>
      </c>
      <c r="AB79" s="226">
        <f t="shared" si="23"/>
        <v>146784</v>
      </c>
      <c r="AC79" s="226">
        <f t="shared" si="23"/>
        <v>175704</v>
      </c>
      <c r="AD79" s="226">
        <f>+AB79+AC79+AB59</f>
        <v>322488</v>
      </c>
      <c r="AE79" s="519">
        <f>+((AD59/24)*$AD$73)+AA79</f>
        <v>318671.5</v>
      </c>
      <c r="AF79" s="227">
        <f>+AE79-AD79</f>
        <v>-3816.5</v>
      </c>
      <c r="AG79" s="212"/>
      <c r="AH79" s="214" t="s">
        <v>6</v>
      </c>
      <c r="AI79" s="446">
        <f>+AA79</f>
        <v>110398</v>
      </c>
      <c r="AJ79" s="53"/>
      <c r="AK79" s="481">
        <f>Z10</f>
        <v>492729</v>
      </c>
      <c r="AL79" s="481">
        <f>AK79-AK78</f>
        <v>-1045.4516129032709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-30186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>
        <v>48446</v>
      </c>
      <c r="AA80" s="225">
        <v>20698</v>
      </c>
      <c r="AB80" s="226">
        <f t="shared" si="23"/>
        <v>4214</v>
      </c>
      <c r="AC80" s="226">
        <f t="shared" si="23"/>
        <v>45232</v>
      </c>
      <c r="AD80" s="226">
        <f>+AB80+AC80</f>
        <v>49446</v>
      </c>
      <c r="AE80" s="519">
        <f>+((AD60/24)*$AD$73)+AA80</f>
        <v>52631.875</v>
      </c>
      <c r="AF80" s="227">
        <f>+AE80-AD80</f>
        <v>3185.875</v>
      </c>
      <c r="AG80" s="149"/>
      <c r="AH80" s="214" t="s">
        <v>8</v>
      </c>
      <c r="AI80" s="447">
        <f>+AA80</f>
        <v>20698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-30186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492729</v>
      </c>
      <c r="AA81" s="230">
        <f t="shared" si="24"/>
        <v>173833</v>
      </c>
      <c r="AB81" s="229">
        <f t="shared" si="24"/>
        <v>211873</v>
      </c>
      <c r="AC81" s="229">
        <f t="shared" si="24"/>
        <v>280856</v>
      </c>
      <c r="AD81" s="229">
        <f t="shared" si="24"/>
        <v>492729</v>
      </c>
      <c r="AE81" s="229">
        <f t="shared" si="24"/>
        <v>492053.8125</v>
      </c>
      <c r="AF81" s="227">
        <f>+SUM(AF78:AF80)</f>
        <v>-675.1875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-30186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-30186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-30186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-30186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-30186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173833</v>
      </c>
      <c r="AB86" s="337">
        <f>AA87-AA86</f>
        <v>98356.729166666686</v>
      </c>
      <c r="AC86" s="42">
        <f>AB86*24/5.5</f>
        <v>429193.00000000006</v>
      </c>
      <c r="AD86" s="338">
        <f>AC86+353111</f>
        <v>782304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-30186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179278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-30186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-30186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-30186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-30186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-30186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699">
        <f>(SUMIF($D$2:$D$57,"domiciliario",$I$2:$I$103))/1000</f>
        <v>30.562999999999999</v>
      </c>
      <c r="AB92" s="700">
        <f>(SUMIF($D$2:$D$57,"domiciliario",$T$2:$T$103))/1000</f>
        <v>30.562999999999999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-30186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-30186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701">
        <f>(SUMIF($D$2:$D$57,"gnv",$I$2:$I$103))/1000</f>
        <v>0.312</v>
      </c>
      <c r="AB94" s="702">
        <f>(SUMIF($D$2:$D$57,"gnv",$T$2:$T$103))/1000</f>
        <v>0.312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-30186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30</v>
      </c>
      <c r="AB95" s="702">
        <f>(SUMIF($D$2:$D$57,"termico",$T$2:$T$103)+SUMIF($D$2:$D$57,"electrico",$T$2:$T$103)+SUMIF($D$2:$D$57,"térmico",$T$2:$T$103))/1000</f>
        <v>30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-30186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-30186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705">
        <f>(SUMIF($D$2:$D$57,"domiciliario",$H$2:$H$103))/1000</f>
        <v>31.837</v>
      </c>
      <c r="AB97" s="706">
        <f>(SUMIF($D$2:$D$57,"domiciliario",$S$2:$S$103))/1000</f>
        <v>31.837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-30186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707">
        <f>(SUMIF($D$2:$D$57,"industrial",$H$2:$H$103))/1000</f>
        <v>19</v>
      </c>
      <c r="AB98" s="708">
        <f>(SUMIF($D$2:$D$57,"industrial",$S$2:$S$103))/1000</f>
        <v>19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-30186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-30186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95.947000000000003</v>
      </c>
      <c r="AB100" s="708">
        <f>(SUMIF($D$2:$D$57,"termico",$S$2:$S$103)+SUMIF($D$2:$D$57,"electrico",$S$2:$S$103)+SUMIF($D$2:$D$57,"térmico",$S$2:$S$103))/1000</f>
        <v>95.947000000000003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-30186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-30186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4.2140000000000004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-30186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146784</v>
      </c>
      <c r="I105" s="252">
        <f>+SUM(I2:I103)</f>
        <v>60875</v>
      </c>
      <c r="J105" s="252">
        <f>+SUM(J2:J103)</f>
        <v>34400</v>
      </c>
      <c r="K105" s="252">
        <f>SUM(K2:K103)</f>
        <v>242059</v>
      </c>
      <c r="L105" s="253">
        <f>+L103</f>
        <v>-30186</v>
      </c>
      <c r="M105" s="252">
        <f>SUM(M2:M103)</f>
        <v>0</v>
      </c>
      <c r="N105" s="252">
        <f>SUM(N2:N103)</f>
        <v>242059</v>
      </c>
      <c r="O105" s="252"/>
      <c r="P105" s="252">
        <f>SUM(P2:P103)</f>
        <v>0</v>
      </c>
      <c r="Q105" s="252">
        <f>SUM(Q2:Q103)</f>
        <v>0</v>
      </c>
      <c r="R105" s="252">
        <f>SUM(R2:R103)</f>
        <v>-30186</v>
      </c>
      <c r="S105" s="252">
        <f>SUM(S2:S103)</f>
        <v>146784</v>
      </c>
      <c r="T105" s="252">
        <f>+SUM(T2:T103)</f>
        <v>60875</v>
      </c>
      <c r="U105" s="252">
        <f>SUM(U2:U103)</f>
        <v>4214</v>
      </c>
      <c r="V105" s="252">
        <f>SUM(V2:V103)</f>
        <v>211873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221559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14227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64" priority="3" operator="lessThan">
      <formula>$AA$78</formula>
    </cfRule>
    <cfRule type="cellIs" dxfId="63" priority="5" operator="greaterThan">
      <formula>$AE$78</formula>
    </cfRule>
  </conditionalFormatting>
  <conditionalFormatting sqref="AA79">
    <cfRule type="cellIs" dxfId="62" priority="4" operator="greaterThan">
      <formula>$AE$79</formula>
    </cfRule>
  </conditionalFormatting>
  <conditionalFormatting sqref="AA80">
    <cfRule type="cellIs" dxfId="61" priority="2" operator="greaterThan">
      <formula>$AE$79</formula>
    </cfRule>
  </conditionalFormatting>
  <conditionalFormatting sqref="AU4:AU23">
    <cfRule type="cellIs" dxfId="6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00B050"/>
  </sheetPr>
  <dimension ref="A1:AX186"/>
  <sheetViews>
    <sheetView topLeftCell="P37" zoomScale="85" zoomScaleNormal="85" workbookViewId="0">
      <selection activeCell="AD61" sqref="AD61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208831</v>
      </c>
      <c r="M2" s="29"/>
      <c r="N2" s="798">
        <f>SUM(K2:K26)</f>
        <v>180393</v>
      </c>
      <c r="O2" s="30">
        <f>+K2/$N$2</f>
        <v>1.6630357053765945E-2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208831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33" t="s">
        <v>31</v>
      </c>
      <c r="AE2" s="733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207731</v>
      </c>
      <c r="M3" s="29"/>
      <c r="N3" s="799"/>
      <c r="O3" s="30">
        <f t="shared" ref="O3:O29" si="2">+K3/$N$2</f>
        <v>6.0977975863808461E-3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207731</v>
      </c>
      <c r="X3" s="32">
        <f t="shared" ref="X3:X56" si="9">W3-L3</f>
        <v>0</v>
      </c>
      <c r="Y3" s="37" t="s">
        <v>34</v>
      </c>
      <c r="Z3" s="38">
        <f>ROUND((Z13*57%),0)</f>
        <v>281580</v>
      </c>
      <c r="AA3" s="39">
        <f>ROUND((+Z14*0.57),0)</f>
        <v>280799</v>
      </c>
      <c r="AB3" s="454">
        <v>58801</v>
      </c>
      <c r="AC3" s="455">
        <v>156703</v>
      </c>
      <c r="AD3" s="40">
        <f>45600+13695-6926</f>
        <v>52369</v>
      </c>
      <c r="AE3" s="736">
        <f>SUM(AB3:AD3)</f>
        <v>267873</v>
      </c>
      <c r="AF3" s="41">
        <f>AA3-AE3</f>
        <v>12926</v>
      </c>
      <c r="AG3" s="42">
        <f>AA3-AB3-AC3-AD3</f>
        <v>12926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1"/>
        <v>196538</v>
      </c>
      <c r="M4" s="29"/>
      <c r="N4" s="799"/>
      <c r="O4" s="30">
        <f t="shared" si="2"/>
        <v>6.2047862167600741E-2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11193</v>
      </c>
      <c r="U4" s="28">
        <f t="shared" si="6"/>
        <v>0</v>
      </c>
      <c r="V4" s="28">
        <f t="shared" si="7"/>
        <v>11193</v>
      </c>
      <c r="W4" s="31">
        <f t="shared" si="8"/>
        <v>196538</v>
      </c>
      <c r="X4" s="32">
        <f t="shared" si="9"/>
        <v>0</v>
      </c>
      <c r="Y4" s="37" t="s">
        <v>38</v>
      </c>
      <c r="Z4" s="38">
        <f>ROUND((Z13*43%),0)</f>
        <v>212420</v>
      </c>
      <c r="AA4" s="39">
        <f>ROUND((+Z14*0.43),0)</f>
        <v>211831</v>
      </c>
      <c r="AB4" s="43">
        <f>T105</f>
        <v>30486</v>
      </c>
      <c r="AC4" s="43">
        <f>S105</f>
        <v>158714</v>
      </c>
      <c r="AD4" s="40">
        <f>U105</f>
        <v>27631</v>
      </c>
      <c r="AE4" s="736">
        <f>SUM(AB4:AD4)</f>
        <v>216831</v>
      </c>
      <c r="AF4" s="41">
        <f>AA4-AE4</f>
        <v>-5000</v>
      </c>
      <c r="AG4" s="42">
        <f>AA4-AB4-AC4-AD4</f>
        <v>-5000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195338</v>
      </c>
      <c r="M5" s="29"/>
      <c r="N5" s="799"/>
      <c r="O5" s="30">
        <f t="shared" si="2"/>
        <v>6.6521428215063775E-3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195338</v>
      </c>
      <c r="X5" s="32">
        <f t="shared" si="9"/>
        <v>0</v>
      </c>
      <c r="Y5" s="44" t="s">
        <v>41</v>
      </c>
      <c r="Z5" s="38">
        <f>SUM(Z3:Z4)</f>
        <v>494000</v>
      </c>
      <c r="AA5" s="45">
        <f>SUM(AA3:AA4)</f>
        <v>492630</v>
      </c>
      <c r="AB5" s="46">
        <f>SUM(AB3:AB4)</f>
        <v>89287</v>
      </c>
      <c r="AC5" s="41">
        <f>SUM(AC3:AC4)</f>
        <v>315417</v>
      </c>
      <c r="AD5" s="40">
        <f>SUM(AD3:AD4)</f>
        <v>80000</v>
      </c>
      <c r="AE5" s="41">
        <f>SUM(AB5:AD5)</f>
        <v>484704</v>
      </c>
      <c r="AF5" s="47">
        <f>SUM(AF3:AF4)</f>
        <v>7926</v>
      </c>
      <c r="AG5" s="47">
        <f>SUM(AG3:AG4)</f>
        <v>7926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183338</v>
      </c>
      <c r="M6" s="29"/>
      <c r="N6" s="799"/>
      <c r="O6" s="30">
        <f t="shared" si="2"/>
        <v>6.652142821506378E-2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183338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f>AD5+AG3</f>
        <v>92926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11209+1940</f>
        <v>13149</v>
      </c>
      <c r="I7" s="518">
        <f>460+800+3591</f>
        <v>4851</v>
      </c>
      <c r="J7" s="26"/>
      <c r="K7" s="27">
        <f t="shared" si="0"/>
        <v>18000</v>
      </c>
      <c r="L7" s="28">
        <f t="shared" si="1"/>
        <v>165338</v>
      </c>
      <c r="M7" s="29"/>
      <c r="N7" s="799"/>
      <c r="O7" s="30">
        <f t="shared" si="2"/>
        <v>9.9782142322595663E-2</v>
      </c>
      <c r="P7" s="802"/>
      <c r="Q7" s="31">
        <f t="shared" si="3"/>
        <v>0</v>
      </c>
      <c r="R7" s="31"/>
      <c r="S7" s="28">
        <f t="shared" si="4"/>
        <v>13149</v>
      </c>
      <c r="T7" s="28">
        <f t="shared" si="5"/>
        <v>4851</v>
      </c>
      <c r="U7" s="28">
        <f t="shared" si="6"/>
        <v>0</v>
      </c>
      <c r="V7" s="28">
        <f t="shared" si="7"/>
        <v>18000</v>
      </c>
      <c r="W7" s="31">
        <f t="shared" si="8"/>
        <v>165338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AD6-80000</f>
        <v>12926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162838</v>
      </c>
      <c r="M8" s="29"/>
      <c r="N8" s="799"/>
      <c r="O8" s="30">
        <f t="shared" si="2"/>
        <v>1.3858630878138286E-2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162838</v>
      </c>
      <c r="X8" s="32">
        <f t="shared" si="9"/>
        <v>0</v>
      </c>
      <c r="Y8" s="14" t="s">
        <v>47</v>
      </c>
      <c r="Z8" s="732">
        <f ca="1">TODAY()+1</f>
        <v>41938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361</v>
      </c>
      <c r="I9" s="518">
        <v>1839</v>
      </c>
      <c r="J9" s="26"/>
      <c r="K9" s="27">
        <f t="shared" si="0"/>
        <v>2200</v>
      </c>
      <c r="L9" s="28">
        <f t="shared" si="1"/>
        <v>160638</v>
      </c>
      <c r="M9" s="29"/>
      <c r="N9" s="799"/>
      <c r="O9" s="30">
        <f t="shared" si="2"/>
        <v>1.2195595172761692E-2</v>
      </c>
      <c r="P9" s="802"/>
      <c r="Q9" s="31">
        <f t="shared" si="3"/>
        <v>0</v>
      </c>
      <c r="R9" s="31"/>
      <c r="S9" s="28">
        <f t="shared" si="4"/>
        <v>361</v>
      </c>
      <c r="T9" s="28">
        <f t="shared" si="5"/>
        <v>1839</v>
      </c>
      <c r="U9" s="28">
        <f t="shared" si="6"/>
        <v>0</v>
      </c>
      <c r="V9" s="28">
        <f t="shared" si="7"/>
        <v>2200</v>
      </c>
      <c r="W9" s="31">
        <f t="shared" si="8"/>
        <v>160638</v>
      </c>
      <c r="X9" s="32">
        <f t="shared" si="9"/>
        <v>0</v>
      </c>
      <c r="Y9" s="14" t="s">
        <v>189</v>
      </c>
      <c r="Z9" s="58">
        <v>494000</v>
      </c>
      <c r="AA9" s="59">
        <f>Z9*14.65/14.73</f>
        <v>491317.04005431093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1"/>
        <v>140638</v>
      </c>
      <c r="M10" s="29"/>
      <c r="N10" s="799"/>
      <c r="O10" s="30">
        <f t="shared" si="2"/>
        <v>0.11086904702510629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28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140638</v>
      </c>
      <c r="X10" s="32">
        <f t="shared" si="9"/>
        <v>0</v>
      </c>
      <c r="Y10" s="14" t="s">
        <v>191</v>
      </c>
      <c r="Z10" s="58">
        <f>ROUND((Z9*Z30),0)</f>
        <v>492630</v>
      </c>
      <c r="AA10" s="59">
        <f>Z10*14.65/14.73</f>
        <v>489954.48065173114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122638</v>
      </c>
      <c r="M11" s="29"/>
      <c r="N11" s="799"/>
      <c r="O11" s="30">
        <f t="shared" si="2"/>
        <v>9.9782142322595663E-2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122638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119038</v>
      </c>
      <c r="M12" s="29"/>
      <c r="N12" s="799"/>
      <c r="O12" s="30">
        <f t="shared" si="2"/>
        <v>1.9956428464519133E-2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119038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1"/>
        <v>113038</v>
      </c>
      <c r="M13" s="29"/>
      <c r="N13" s="799"/>
      <c r="O13" s="30">
        <f t="shared" si="2"/>
        <v>3.326071410753189E-2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113038</v>
      </c>
      <c r="X13" s="32">
        <f t="shared" si="9"/>
        <v>0</v>
      </c>
      <c r="Y13" s="14" t="s">
        <v>67</v>
      </c>
      <c r="Z13" s="67">
        <f>Z14/Z30</f>
        <v>494000.31443116145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26"/>
      <c r="I14" s="26">
        <v>0</v>
      </c>
      <c r="J14" s="26"/>
      <c r="K14" s="27">
        <f t="shared" si="0"/>
        <v>0</v>
      </c>
      <c r="L14" s="28">
        <f t="shared" si="1"/>
        <v>113038</v>
      </c>
      <c r="M14" s="29"/>
      <c r="N14" s="799"/>
      <c r="O14" s="30">
        <f t="shared" si="2"/>
        <v>0</v>
      </c>
      <c r="P14" s="802"/>
      <c r="Q14" s="31">
        <f t="shared" si="3"/>
        <v>0</v>
      </c>
      <c r="R14" s="31">
        <v>0</v>
      </c>
      <c r="S14" s="28">
        <f t="shared" si="4"/>
        <v>0</v>
      </c>
      <c r="T14" s="28">
        <f t="shared" si="5"/>
        <v>0</v>
      </c>
      <c r="U14" s="28">
        <f t="shared" si="6"/>
        <v>0</v>
      </c>
      <c r="V14" s="28">
        <f t="shared" si="7"/>
        <v>0</v>
      </c>
      <c r="W14" s="31">
        <f t="shared" si="8"/>
        <v>113038</v>
      </c>
      <c r="X14" s="32">
        <f t="shared" si="9"/>
        <v>0</v>
      </c>
      <c r="Y14" s="14" t="s">
        <v>70</v>
      </c>
      <c r="Z14" s="67">
        <f>+Z10-(Z11+Z12)</f>
        <v>492630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14700</v>
      </c>
      <c r="I15" s="26"/>
      <c r="J15" s="26"/>
      <c r="K15" s="27">
        <f t="shared" si="0"/>
        <v>14700</v>
      </c>
      <c r="L15" s="28">
        <f t="shared" si="1"/>
        <v>98338</v>
      </c>
      <c r="M15" s="29"/>
      <c r="N15" s="799"/>
      <c r="O15" s="30">
        <f t="shared" si="2"/>
        <v>8.1488749563453131E-2</v>
      </c>
      <c r="P15" s="802"/>
      <c r="Q15" s="31">
        <f t="shared" si="3"/>
        <v>0</v>
      </c>
      <c r="R15" s="31">
        <v>0</v>
      </c>
      <c r="S15" s="28">
        <f t="shared" si="4"/>
        <v>14700</v>
      </c>
      <c r="T15" s="28">
        <f t="shared" si="5"/>
        <v>0</v>
      </c>
      <c r="U15" s="28">
        <f t="shared" si="6"/>
        <v>0</v>
      </c>
      <c r="V15" s="28">
        <f t="shared" si="7"/>
        <v>14700</v>
      </c>
      <c r="W15" s="31">
        <f t="shared" si="8"/>
        <v>98338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5500</v>
      </c>
      <c r="I16" s="26"/>
      <c r="J16" s="26"/>
      <c r="K16" s="27">
        <f t="shared" si="0"/>
        <v>5500</v>
      </c>
      <c r="L16" s="28">
        <f t="shared" si="1"/>
        <v>92838</v>
      </c>
      <c r="M16" s="29"/>
      <c r="N16" s="799"/>
      <c r="O16" s="30">
        <f t="shared" si="2"/>
        <v>3.0488987931904233E-2</v>
      </c>
      <c r="P16" s="802"/>
      <c r="Q16" s="31">
        <v>0</v>
      </c>
      <c r="R16" s="31">
        <v>0</v>
      </c>
      <c r="S16" s="28">
        <f t="shared" si="4"/>
        <v>5500</v>
      </c>
      <c r="T16" s="28">
        <f t="shared" si="5"/>
        <v>0</v>
      </c>
      <c r="U16" s="28">
        <f t="shared" si="6"/>
        <v>0</v>
      </c>
      <c r="V16" s="28">
        <f t="shared" si="7"/>
        <v>5500</v>
      </c>
      <c r="W16" s="31">
        <f t="shared" si="8"/>
        <v>92838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5000</v>
      </c>
      <c r="J17" s="26"/>
      <c r="K17" s="27">
        <f t="shared" si="0"/>
        <v>5000</v>
      </c>
      <c r="L17" s="28">
        <f t="shared" si="1"/>
        <v>87838</v>
      </c>
      <c r="M17" s="29"/>
      <c r="N17" s="799"/>
      <c r="O17" s="30">
        <f t="shared" si="2"/>
        <v>2.7717261756276573E-2</v>
      </c>
      <c r="P17" s="802"/>
      <c r="Q17" s="31">
        <f t="shared" si="3"/>
        <v>0</v>
      </c>
      <c r="R17" s="31">
        <v>0</v>
      </c>
      <c r="S17" s="28">
        <f t="shared" si="4"/>
        <v>0</v>
      </c>
      <c r="T17" s="28">
        <f t="shared" si="5"/>
        <v>5000</v>
      </c>
      <c r="U17" s="28">
        <f t="shared" si="6"/>
        <v>0</v>
      </c>
      <c r="V17" s="28">
        <f t="shared" si="7"/>
        <v>5000</v>
      </c>
      <c r="W17" s="31">
        <f t="shared" si="8"/>
        <v>87838</v>
      </c>
      <c r="X17" s="32">
        <f t="shared" si="9"/>
        <v>0</v>
      </c>
      <c r="AA17" s="35"/>
      <c r="AB17" s="790">
        <f>+Z61-Z24-((Z12+Z11)*0.43)</f>
        <v>5000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303</v>
      </c>
      <c r="J18" s="26"/>
      <c r="K18" s="27">
        <f t="shared" si="0"/>
        <v>303</v>
      </c>
      <c r="L18" s="28">
        <f t="shared" si="1"/>
        <v>87535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303</v>
      </c>
      <c r="U18" s="28">
        <f t="shared" si="6"/>
        <v>0</v>
      </c>
      <c r="V18" s="28">
        <f t="shared" si="7"/>
        <v>303</v>
      </c>
      <c r="W18" s="31">
        <f t="shared" si="8"/>
        <v>87535</v>
      </c>
      <c r="X18" s="32"/>
      <c r="Y18" s="14" t="s">
        <v>77</v>
      </c>
      <c r="Z18" s="71">
        <f>ROUND(Z14*0.43,0)</f>
        <v>211831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697</v>
      </c>
      <c r="I19" s="26"/>
      <c r="J19" s="26"/>
      <c r="K19" s="27">
        <f t="shared" si="0"/>
        <v>697</v>
      </c>
      <c r="L19" s="28">
        <f t="shared" si="1"/>
        <v>86838</v>
      </c>
      <c r="M19" s="29"/>
      <c r="N19" s="799"/>
      <c r="O19" s="30">
        <f t="shared" si="2"/>
        <v>3.8637862888249545E-3</v>
      </c>
      <c r="P19" s="802"/>
      <c r="Q19" s="31">
        <f t="shared" si="3"/>
        <v>0</v>
      </c>
      <c r="R19" s="31">
        <v>0</v>
      </c>
      <c r="S19" s="28">
        <f t="shared" si="4"/>
        <v>697</v>
      </c>
      <c r="T19" s="28">
        <f t="shared" si="5"/>
        <v>0</v>
      </c>
      <c r="U19" s="28">
        <f t="shared" si="6"/>
        <v>0</v>
      </c>
      <c r="V19" s="28">
        <f t="shared" si="7"/>
        <v>697</v>
      </c>
      <c r="W19" s="31">
        <f t="shared" si="8"/>
        <v>86838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85338</v>
      </c>
      <c r="M20" s="29"/>
      <c r="N20" s="799"/>
      <c r="O20" s="30">
        <f t="shared" si="2"/>
        <v>8.3151785268829725E-3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85338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85338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85338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77838</v>
      </c>
      <c r="M22" s="29"/>
      <c r="N22" s="799"/>
      <c r="O22" s="30">
        <f t="shared" si="2"/>
        <v>4.1575892634414864E-2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77838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77838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77838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77838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77838</v>
      </c>
      <c r="X24" s="32">
        <f t="shared" si="9"/>
        <v>0</v>
      </c>
      <c r="Y24" s="74" t="s">
        <v>169</v>
      </c>
      <c r="Z24" s="680">
        <f>+Z18+Z19</f>
        <v>211831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65838</v>
      </c>
      <c r="M25" s="29"/>
      <c r="N25" s="799"/>
      <c r="O25" s="30">
        <f t="shared" si="2"/>
        <v>6.652142821506378E-2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65838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31438</v>
      </c>
      <c r="M26" s="86"/>
      <c r="N26" s="800"/>
      <c r="O26" s="87">
        <f t="shared" si="2"/>
        <v>0.19069476088318282</v>
      </c>
      <c r="P26" s="803"/>
      <c r="Q26" s="144">
        <f t="shared" si="3"/>
        <v>0</v>
      </c>
      <c r="R26" s="144">
        <v>-6769</v>
      </c>
      <c r="S26" s="423">
        <f t="shared" si="4"/>
        <v>0</v>
      </c>
      <c r="T26" s="423">
        <f t="shared" si="5"/>
        <v>0</v>
      </c>
      <c r="U26" s="423">
        <f t="shared" si="6"/>
        <v>27631</v>
      </c>
      <c r="V26" s="423">
        <f t="shared" si="7"/>
        <v>27631</v>
      </c>
      <c r="W26" s="144">
        <f t="shared" si="8"/>
        <v>38207</v>
      </c>
      <c r="X26" s="32">
        <f t="shared" si="9"/>
        <v>6769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31438</v>
      </c>
      <c r="M27" s="95"/>
      <c r="N27" s="804">
        <f>SUM(K27:K49)</f>
        <v>36207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38207</v>
      </c>
      <c r="X27" s="32">
        <f t="shared" si="9"/>
        <v>6769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31438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38207</v>
      </c>
      <c r="X28" s="32">
        <f t="shared" si="9"/>
        <v>6769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31438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38207</v>
      </c>
      <c r="X29" s="32">
        <f t="shared" si="9"/>
        <v>6769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31438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38207</v>
      </c>
      <c r="X30" s="32">
        <f t="shared" si="9"/>
        <v>6769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31438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38207</v>
      </c>
      <c r="X31" s="32">
        <f t="shared" si="9"/>
        <v>6769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31438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38207</v>
      </c>
      <c r="X32" s="32">
        <f t="shared" si="9"/>
        <v>6769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31438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38207</v>
      </c>
      <c r="X33" s="32">
        <f t="shared" si="9"/>
        <v>6769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31438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38207</v>
      </c>
      <c r="X34" s="32">
        <f t="shared" si="9"/>
        <v>6769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31438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38207</v>
      </c>
      <c r="X35" s="32">
        <f>W35-L35</f>
        <v>6769</v>
      </c>
      <c r="Y35" s="117" t="s">
        <v>56</v>
      </c>
      <c r="Z35" s="113">
        <f>Z34*43%</f>
        <v>34400</v>
      </c>
      <c r="AA35" s="113">
        <f>AD4-Z35</f>
        <v>-6769</v>
      </c>
      <c r="AB35" s="113">
        <f>Z35+AA35</f>
        <v>27631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31438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38207</v>
      </c>
      <c r="X36" s="32">
        <f t="shared" si="9"/>
        <v>6769</v>
      </c>
      <c r="Y36" s="117" t="s">
        <v>60</v>
      </c>
      <c r="Z36" s="113">
        <f>Z34*57%</f>
        <v>45599.999999999993</v>
      </c>
      <c r="AA36" s="113">
        <f>AD3-Z36</f>
        <v>6769.0000000000073</v>
      </c>
      <c r="AB36" s="113">
        <f>Z36+AA36</f>
        <v>52369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31438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38207</v>
      </c>
      <c r="X37" s="32">
        <f t="shared" si="9"/>
        <v>6769</v>
      </c>
      <c r="Y37" s="117" t="s">
        <v>94</v>
      </c>
      <c r="Z37" s="113">
        <f>+Z35+Z36</f>
        <v>80000</v>
      </c>
      <c r="AA37" s="113">
        <f>SUM(AA35:AA36)</f>
        <v>7.2759576141834259E-12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26"/>
      <c r="J38" s="26"/>
      <c r="K38" s="27">
        <f t="shared" si="0"/>
        <v>11207</v>
      </c>
      <c r="L38" s="28">
        <f>+L37-K38</f>
        <v>20231</v>
      </c>
      <c r="M38" s="29"/>
      <c r="N38" s="799"/>
      <c r="O38" s="30">
        <f t="shared" si="10"/>
        <v>0.30952578230728867</v>
      </c>
      <c r="P38" s="802"/>
      <c r="Q38" s="31">
        <f t="shared" si="11"/>
        <v>0</v>
      </c>
      <c r="R38" s="31"/>
      <c r="S38" s="28">
        <f t="shared" si="4"/>
        <v>11207</v>
      </c>
      <c r="T38" s="28">
        <f t="shared" si="5"/>
        <v>0</v>
      </c>
      <c r="U38" s="28">
        <f t="shared" si="6"/>
        <v>0</v>
      </c>
      <c r="V38" s="28">
        <f t="shared" si="7"/>
        <v>11207</v>
      </c>
      <c r="W38" s="31">
        <f t="shared" si="8"/>
        <v>27000</v>
      </c>
      <c r="X38" s="32">
        <f t="shared" si="9"/>
        <v>6769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20231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27000</v>
      </c>
      <c r="X39" s="32">
        <f t="shared" si="9"/>
        <v>6769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20231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27000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20231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27000</v>
      </c>
      <c r="X41" s="32">
        <f t="shared" si="9"/>
        <v>6769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15000</v>
      </c>
      <c r="I42" s="26"/>
      <c r="J42" s="26"/>
      <c r="K42" s="27">
        <f t="shared" si="0"/>
        <v>15000</v>
      </c>
      <c r="L42" s="28">
        <f t="shared" si="1"/>
        <v>5231</v>
      </c>
      <c r="M42" s="29"/>
      <c r="N42" s="799"/>
      <c r="O42" s="30">
        <f t="shared" si="10"/>
        <v>0.41428453061562681</v>
      </c>
      <c r="P42" s="802"/>
      <c r="Q42" s="31">
        <f t="shared" si="11"/>
        <v>0</v>
      </c>
      <c r="R42" s="31"/>
      <c r="S42" s="28">
        <f t="shared" si="4"/>
        <v>15000</v>
      </c>
      <c r="T42" s="28">
        <f t="shared" si="5"/>
        <v>0</v>
      </c>
      <c r="U42" s="28">
        <f t="shared" si="6"/>
        <v>0</v>
      </c>
      <c r="V42" s="28">
        <f t="shared" si="7"/>
        <v>15000</v>
      </c>
      <c r="W42" s="31">
        <f t="shared" si="8"/>
        <v>12000</v>
      </c>
      <c r="X42" s="32">
        <f t="shared" si="9"/>
        <v>6769</v>
      </c>
      <c r="Y42" s="74" t="s">
        <v>96</v>
      </c>
      <c r="Z42" s="75">
        <v>35500</v>
      </c>
      <c r="AA42" s="129">
        <f>+H7+H8+H17+H18+H19+H22+H32+H33+H43+H44+H45+H53</f>
        <v>30846</v>
      </c>
      <c r="AB42" s="129">
        <f>+I7+I8+I17+I18+I19+I22+I32+I33+I43+I44+I45+I53</f>
        <v>10154</v>
      </c>
      <c r="AC42" s="130">
        <f>+AA42+AB42</f>
        <v>41000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5231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12000</v>
      </c>
      <c r="X43" s="32">
        <f t="shared" si="9"/>
        <v>6769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5231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12000</v>
      </c>
      <c r="X44" s="32">
        <f t="shared" si="9"/>
        <v>6769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5231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12000</v>
      </c>
      <c r="X45" s="32">
        <f t="shared" si="9"/>
        <v>6769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-4769</v>
      </c>
      <c r="M46" s="29"/>
      <c r="N46" s="799"/>
      <c r="O46" s="30">
        <f t="shared" si="10"/>
        <v>0.27618968707708452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2000</v>
      </c>
      <c r="X46" s="32">
        <f t="shared" si="9"/>
        <v>6769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-4769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2000</v>
      </c>
      <c r="X47" s="32">
        <f t="shared" si="9"/>
        <v>6769</v>
      </c>
      <c r="Y47" s="57">
        <v>20000</v>
      </c>
      <c r="Z47" s="89">
        <v>4586</v>
      </c>
      <c r="AA47" s="35"/>
      <c r="AB47" s="57">
        <f>57000-AA60</f>
        <v>4631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-4769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2000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-4769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2000</v>
      </c>
      <c r="X49" s="32">
        <f t="shared" si="9"/>
        <v>6769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-4769</v>
      </c>
      <c r="M50" s="95"/>
      <c r="N50" s="804">
        <f>SUM(K50:K55)</f>
        <v>7000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2000</v>
      </c>
      <c r="X50" s="32">
        <f t="shared" si="9"/>
        <v>6769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0"/>
        <v>0</v>
      </c>
      <c r="L51" s="28">
        <f t="shared" si="1"/>
        <v>-4769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2000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-4769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2000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7000</v>
      </c>
      <c r="I53" s="518"/>
      <c r="J53" s="26"/>
      <c r="K53" s="27">
        <f t="shared" si="0"/>
        <v>7000</v>
      </c>
      <c r="L53" s="28">
        <f>+L52-K53</f>
        <v>-11769</v>
      </c>
      <c r="M53" s="29"/>
      <c r="N53" s="799"/>
      <c r="O53" s="30">
        <f t="shared" si="10"/>
        <v>0.19333278095395917</v>
      </c>
      <c r="P53" s="802"/>
      <c r="Q53" s="97">
        <f t="shared" si="11"/>
        <v>0</v>
      </c>
      <c r="R53" s="31"/>
      <c r="S53" s="28">
        <f t="shared" si="4"/>
        <v>7000</v>
      </c>
      <c r="T53" s="28">
        <f t="shared" si="5"/>
        <v>0</v>
      </c>
      <c r="U53" s="28">
        <f t="shared" si="6"/>
        <v>0</v>
      </c>
      <c r="V53" s="28">
        <f t="shared" si="7"/>
        <v>7000</v>
      </c>
      <c r="W53" s="31">
        <f t="shared" si="8"/>
        <v>-5000</v>
      </c>
      <c r="X53" s="32">
        <f t="shared" si="9"/>
        <v>6769</v>
      </c>
      <c r="Y53" s="80">
        <f>+Y52-15000</f>
        <v>-2513.5</v>
      </c>
      <c r="Z53" s="49">
        <f>+Z60-43000</f>
        <v>-15369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-11769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-5000</v>
      </c>
      <c r="X54" s="32">
        <f t="shared" si="9"/>
        <v>6769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-11769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-5000</v>
      </c>
      <c r="X55" s="119">
        <f t="shared" si="9"/>
        <v>6769</v>
      </c>
      <c r="Y55" s="807">
        <f ca="1">Z8</f>
        <v>41938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-11769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-5000</v>
      </c>
      <c r="X56" s="119">
        <f t="shared" si="9"/>
        <v>6769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-11769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-5000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-11769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-5000</v>
      </c>
      <c r="X58" s="408"/>
      <c r="Y58" s="180" t="s">
        <v>7</v>
      </c>
      <c r="Z58" s="181">
        <f>+AB4</f>
        <v>30486</v>
      </c>
      <c r="AA58" s="182">
        <f>+AB3</f>
        <v>58801</v>
      </c>
      <c r="AB58" s="182">
        <f>Z12</f>
        <v>0</v>
      </c>
      <c r="AC58" s="181">
        <f>AB10</f>
        <v>0</v>
      </c>
      <c r="AD58" s="661">
        <f>SUM(Z58:AC58)</f>
        <v>89287</v>
      </c>
      <c r="AE58" s="185">
        <v>97040</v>
      </c>
      <c r="AF58" s="17"/>
      <c r="AG58" s="17"/>
      <c r="AI58" s="50"/>
      <c r="AJ58" s="50"/>
      <c r="AK58" s="722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-11769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-5000</v>
      </c>
      <c r="X59" s="408"/>
      <c r="Y59" s="180" t="s">
        <v>17</v>
      </c>
      <c r="Z59" s="182">
        <f>+AC4</f>
        <v>158714</v>
      </c>
      <c r="AA59" s="182">
        <f>AC3</f>
        <v>156703</v>
      </c>
      <c r="AB59" s="182">
        <f>Z11</f>
        <v>0</v>
      </c>
      <c r="AC59" s="181">
        <v>0</v>
      </c>
      <c r="AD59" s="661">
        <f>SUM(Z59:AC59)</f>
        <v>315417</v>
      </c>
      <c r="AE59" s="185"/>
      <c r="AF59" s="17"/>
      <c r="AG59" s="51"/>
      <c r="AH59" s="19"/>
      <c r="AI59" s="50"/>
      <c r="AJ59" s="50"/>
      <c r="AK59" s="722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-11769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-5000</v>
      </c>
      <c r="X60" s="408"/>
      <c r="Y60" s="180" t="s">
        <v>112</v>
      </c>
      <c r="Z60" s="181">
        <f>+AD4+AH11</f>
        <v>27631</v>
      </c>
      <c r="AA60" s="182">
        <f>+AD3+AH10</f>
        <v>52369</v>
      </c>
      <c r="AB60" s="191">
        <v>0</v>
      </c>
      <c r="AC60" s="181">
        <v>0</v>
      </c>
      <c r="AD60" s="662">
        <f>SUM(Z60:AC60)</f>
        <v>80000</v>
      </c>
      <c r="AE60" s="185"/>
      <c r="AF60" s="17"/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-11769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-5000</v>
      </c>
      <c r="X61" s="408"/>
      <c r="Y61" s="193" t="s">
        <v>113</v>
      </c>
      <c r="Z61" s="194">
        <f>SUM(Z58:Z60)</f>
        <v>216831</v>
      </c>
      <c r="AA61" s="194">
        <f>SUM(AA58:AA60)</f>
        <v>267873</v>
      </c>
      <c r="AB61" s="194">
        <f>SUM(AB58:AB60)</f>
        <v>0</v>
      </c>
      <c r="AC61" s="194">
        <f>AB10</f>
        <v>0</v>
      </c>
      <c r="AD61" s="195">
        <f>SUM(AD58:AD60)</f>
        <v>484704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-11769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-5000</v>
      </c>
      <c r="X62" s="408"/>
      <c r="Y62" s="199" t="s">
        <v>114</v>
      </c>
      <c r="Z62" s="200">
        <f>(Z58/$Z$28+(Z59/$Z$27)+(Z60/$Z$29))</f>
        <v>217436.0228894302</v>
      </c>
      <c r="AA62" s="200">
        <f>(AA58/$Z$28+(AA59/$Z$27)+(AA60/$Z$29))</f>
        <v>268618.806458176</v>
      </c>
      <c r="AB62" s="200">
        <f>(AB58/$Z$28)+(AB59/$Z$27)</f>
        <v>0</v>
      </c>
      <c r="AC62" s="200">
        <f>AB9</f>
        <v>0</v>
      </c>
      <c r="AD62" s="201">
        <f>(AD58/$Z$28+(AD59/$Z$27)+(AD60/$Z$29))</f>
        <v>486054.82934760622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-11769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-5000</v>
      </c>
      <c r="X63" s="408"/>
      <c r="Y63" s="368" t="s">
        <v>318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-11769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-5000</v>
      </c>
      <c r="X64" s="408"/>
      <c r="Y64" s="368" t="s">
        <v>317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-11769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-5000</v>
      </c>
      <c r="X65" s="408"/>
      <c r="Y65" s="371" t="s">
        <v>115</v>
      </c>
      <c r="Z65" s="484"/>
      <c r="AA65" s="203">
        <v>154638.51771000004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-11769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-5000</v>
      </c>
      <c r="X66" s="408"/>
      <c r="Y66" s="814" t="s">
        <v>116</v>
      </c>
      <c r="Z66" s="815"/>
      <c r="AA66" s="203">
        <v>39704.620560000003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-11769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-5000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-11769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-5000</v>
      </c>
      <c r="X68" s="211"/>
      <c r="Y68" s="814" t="s">
        <v>188</v>
      </c>
      <c r="Z68" s="815"/>
      <c r="AA68" s="207">
        <f>Z9*Z30+AC61</f>
        <v>492629.68644104362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-11769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-5000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-11769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-5000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-11769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-5000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-11769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-5000</v>
      </c>
      <c r="X72" s="211"/>
      <c r="Y72" s="214" t="s">
        <v>47</v>
      </c>
      <c r="Z72" s="215">
        <f ca="1">Z8</f>
        <v>41938</v>
      </c>
      <c r="AA72" s="818" t="s">
        <v>118</v>
      </c>
      <c r="AB72" s="818"/>
      <c r="AC72" s="818"/>
      <c r="AD72" s="216">
        <v>8.5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-11769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-5000</v>
      </c>
      <c r="X73" s="211"/>
      <c r="Y73" s="214" t="s">
        <v>119</v>
      </c>
      <c r="Z73" s="480">
        <f>AD72</f>
        <v>8.5</v>
      </c>
      <c r="AA73" s="734" t="s">
        <v>120</v>
      </c>
      <c r="AB73" s="734"/>
      <c r="AC73" s="734"/>
      <c r="AD73" s="219">
        <f>24-AD72</f>
        <v>15.5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-11769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-5000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35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-11769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-5000</v>
      </c>
      <c r="X75" s="211"/>
      <c r="Y75" s="735" t="s">
        <v>121</v>
      </c>
      <c r="Z75" s="735" t="s">
        <v>122</v>
      </c>
      <c r="AA75" s="735" t="s">
        <v>123</v>
      </c>
      <c r="AB75" s="820" t="s">
        <v>124</v>
      </c>
      <c r="AC75" s="821"/>
      <c r="AD75" s="822"/>
      <c r="AE75" s="735" t="s">
        <v>125</v>
      </c>
      <c r="AF75" s="735" t="s">
        <v>126</v>
      </c>
      <c r="AG75" s="149"/>
      <c r="AH75" s="735" t="s">
        <v>121</v>
      </c>
      <c r="AI75" s="735"/>
      <c r="AJ75" s="214" t="s">
        <v>7</v>
      </c>
      <c r="AK75" s="236">
        <f>((+AD78-AA78)/$AD$73)*24</f>
        <v>72077.419354838697</v>
      </c>
      <c r="AL75" s="236">
        <f>AK75</f>
        <v>72077.419354838697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-11769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-5000</v>
      </c>
      <c r="X76" s="211"/>
      <c r="Y76" s="735"/>
      <c r="Z76" s="735"/>
      <c r="AA76" s="735"/>
      <c r="AB76" s="735"/>
      <c r="AC76" s="735"/>
      <c r="AD76" s="735"/>
      <c r="AE76" s="735"/>
      <c r="AF76" s="735"/>
      <c r="AG76" s="149"/>
      <c r="AH76" s="735"/>
      <c r="AI76" s="735"/>
      <c r="AJ76" s="214" t="s">
        <v>6</v>
      </c>
      <c r="AK76" s="236">
        <f>((+AD79-AA79)/$AD$73)*24</f>
        <v>317448.77419354842</v>
      </c>
      <c r="AL76" s="236">
        <f>+AK76</f>
        <v>317448.77419354842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-11769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-5000</v>
      </c>
      <c r="X77" s="211"/>
      <c r="Y77" s="735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35"/>
      <c r="AI77" s="78"/>
      <c r="AJ77" s="214" t="s">
        <v>8</v>
      </c>
      <c r="AK77" s="236">
        <f>((+AD80-AA80)/$AD$73)*24</f>
        <v>91822.451612903227</v>
      </c>
      <c r="AL77" s="236">
        <f>AK77</f>
        <v>91822.451612903227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-11769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-5000</v>
      </c>
      <c r="X78" s="211"/>
      <c r="Y78" s="214" t="s">
        <v>7</v>
      </c>
      <c r="Z78" s="224">
        <v>120795</v>
      </c>
      <c r="AA78" s="225">
        <v>42737</v>
      </c>
      <c r="AB78" s="226">
        <f t="shared" ref="AB78:AC80" si="23">+Z58</f>
        <v>30486</v>
      </c>
      <c r="AC78" s="226">
        <f t="shared" si="23"/>
        <v>58801</v>
      </c>
      <c r="AD78" s="226">
        <f>+AB78+AC78+AB58+AC58</f>
        <v>89287</v>
      </c>
      <c r="AE78" s="519">
        <f>+((AD58/24)*$AD$73)+AA78</f>
        <v>100401.52083333333</v>
      </c>
      <c r="AF78" s="227">
        <f>+AE78-AD78</f>
        <v>11114.520833333328</v>
      </c>
      <c r="AG78" s="212"/>
      <c r="AH78" s="214" t="s">
        <v>7</v>
      </c>
      <c r="AI78" s="446">
        <f>+AA78</f>
        <v>42737</v>
      </c>
      <c r="AK78" s="231">
        <f>+SUM(AK75:AK77)</f>
        <v>481348.64516129036</v>
      </c>
      <c r="AL78" s="231">
        <f>+SUM(AL75:AL77)</f>
        <v>481348.64516129036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-11769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-5000</v>
      </c>
      <c r="X79" s="211"/>
      <c r="Y79" s="214" t="s">
        <v>6</v>
      </c>
      <c r="Z79" s="224">
        <v>323488</v>
      </c>
      <c r="AA79" s="225">
        <v>110398</v>
      </c>
      <c r="AB79" s="226">
        <f t="shared" si="23"/>
        <v>158714</v>
      </c>
      <c r="AC79" s="226">
        <f t="shared" si="23"/>
        <v>156703</v>
      </c>
      <c r="AD79" s="226">
        <f>+AB79+AC79+AB59</f>
        <v>315417</v>
      </c>
      <c r="AE79" s="519">
        <f>+((AD59/24)*$AD$73)+AA79</f>
        <v>314104.8125</v>
      </c>
      <c r="AF79" s="227">
        <f>+AE79-AD79</f>
        <v>-1312.1875</v>
      </c>
      <c r="AG79" s="212"/>
      <c r="AH79" s="214" t="s">
        <v>6</v>
      </c>
      <c r="AI79" s="446">
        <f>+AA79</f>
        <v>110398</v>
      </c>
      <c r="AJ79" s="53"/>
      <c r="AK79" s="481">
        <f>Z10</f>
        <v>492630</v>
      </c>
      <c r="AL79" s="481">
        <f>AK79-AK78</f>
        <v>11281.354838709638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-11769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-5000</v>
      </c>
      <c r="X80" s="211"/>
      <c r="Y80" s="214" t="s">
        <v>8</v>
      </c>
      <c r="Z80" s="224">
        <v>48446</v>
      </c>
      <c r="AA80" s="225">
        <v>20698</v>
      </c>
      <c r="AB80" s="226">
        <f t="shared" si="23"/>
        <v>27631</v>
      </c>
      <c r="AC80" s="226">
        <f t="shared" si="23"/>
        <v>52369</v>
      </c>
      <c r="AD80" s="226">
        <f>+AB80+AC80</f>
        <v>80000</v>
      </c>
      <c r="AE80" s="519">
        <f>+((AD60/24)*$AD$73)+AA80</f>
        <v>72364.666666666672</v>
      </c>
      <c r="AF80" s="227">
        <f>+AE80-AD80</f>
        <v>-7635.3333333333285</v>
      </c>
      <c r="AG80" s="149"/>
      <c r="AH80" s="214" t="s">
        <v>8</v>
      </c>
      <c r="AI80" s="447">
        <f>+AA80</f>
        <v>20698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-11769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-5000</v>
      </c>
      <c r="X81" s="211"/>
      <c r="Y81" s="228" t="s">
        <v>130</v>
      </c>
      <c r="Z81" s="229">
        <f t="shared" ref="Z81:AE81" si="24">SUM(Z78:Z80)</f>
        <v>492729</v>
      </c>
      <c r="AA81" s="230">
        <f t="shared" si="24"/>
        <v>173833</v>
      </c>
      <c r="AB81" s="229">
        <f t="shared" si="24"/>
        <v>216831</v>
      </c>
      <c r="AC81" s="229">
        <f t="shared" si="24"/>
        <v>267873</v>
      </c>
      <c r="AD81" s="229">
        <f t="shared" si="24"/>
        <v>484704</v>
      </c>
      <c r="AE81" s="229">
        <f t="shared" si="24"/>
        <v>486871</v>
      </c>
      <c r="AF81" s="227">
        <f>+SUM(AF78:AF80)</f>
        <v>2167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-11769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-5000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-11769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-5000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-11769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-5000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-11769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-5000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-11769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-5000</v>
      </c>
      <c r="Y86" s="14" t="s">
        <v>177</v>
      </c>
      <c r="Z86" s="336" t="s">
        <v>178</v>
      </c>
      <c r="AA86" s="337">
        <f>+AA81</f>
        <v>173833</v>
      </c>
      <c r="AB86" s="337">
        <f>AA87-AA86</f>
        <v>98356.729166666686</v>
      </c>
      <c r="AC86" s="42">
        <f>AB86*24/5.5</f>
        <v>429193.00000000006</v>
      </c>
      <c r="AD86" s="338">
        <f>AC86+353111</f>
        <v>782304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-11769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-5000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179278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-11769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-5000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-11769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-5000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-11769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-5000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-11769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-5000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-11769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-5000</v>
      </c>
      <c r="Y92" s="882" t="s">
        <v>158</v>
      </c>
      <c r="Z92" s="586" t="s">
        <v>283</v>
      </c>
      <c r="AA92" s="699">
        <f>(SUMIF($D$2:$D$57,"domiciliario",$I$2:$I$103))/1000</f>
        <v>20.183</v>
      </c>
      <c r="AB92" s="700">
        <f>(SUMIF($D$2:$D$57,"domiciliario",$T$2:$T$103))/1000</f>
        <v>20.183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-11769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-5000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-11769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-5000</v>
      </c>
      <c r="Y94" s="883"/>
      <c r="Z94" s="588" t="s">
        <v>80</v>
      </c>
      <c r="AA94" s="701">
        <f>(SUMIF($D$2:$D$57,"gnv",$I$2:$I$103))/1000</f>
        <v>0.30299999999999999</v>
      </c>
      <c r="AB94" s="702">
        <f>(SUMIF($D$2:$D$57,"gnv",$T$2:$T$103))/1000</f>
        <v>0.30299999999999999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-11769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-5000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10</v>
      </c>
      <c r="AB95" s="702">
        <f>(SUMIF($D$2:$D$57,"termico",$T$2:$T$103)+SUMIF($D$2:$D$57,"electrico",$T$2:$T$103)+SUMIF($D$2:$D$57,"térmico",$T$2:$T$103))/1000</f>
        <v>10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-11769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-5000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-11769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-5000</v>
      </c>
      <c r="Y97" s="825" t="s">
        <v>154</v>
      </c>
      <c r="Z97" s="489" t="s">
        <v>283</v>
      </c>
      <c r="AA97" s="705">
        <f>(SUMIF($D$2:$D$57,"domiciliario",$H$2:$H$103))/1000</f>
        <v>31.01</v>
      </c>
      <c r="AB97" s="706">
        <f>(SUMIF($D$2:$D$57,"domiciliario",$S$2:$S$103))/1000</f>
        <v>31.01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-11769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-5000</v>
      </c>
      <c r="Y98" s="826"/>
      <c r="Z98" s="492" t="s">
        <v>284</v>
      </c>
      <c r="AA98" s="707">
        <f>(SUMIF($D$2:$D$57,"industrial",$H$2:$H$103))/1000</f>
        <v>24.696999999999999</v>
      </c>
      <c r="AB98" s="708">
        <f>(SUMIF($D$2:$D$57,"industrial",$S$2:$S$103))/1000</f>
        <v>24.696999999999999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-11769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-5000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-11769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-5000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103.00700000000001</v>
      </c>
      <c r="AB100" s="708">
        <f>(SUMIF($D$2:$D$57,"termico",$S$2:$S$103)+SUMIF($D$2:$D$57,"electrico",$S$2:$S$103)+SUMIF($D$2:$D$57,"térmico",$S$2:$S$103))/1000</f>
        <v>103.00700000000001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-11769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-5000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-11769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-5000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27.631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-11769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-5000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158714</v>
      </c>
      <c r="I105" s="252">
        <f>+SUM(I2:I103)</f>
        <v>30486</v>
      </c>
      <c r="J105" s="252">
        <f>+SUM(J2:J103)</f>
        <v>34400</v>
      </c>
      <c r="K105" s="252">
        <f>SUM(K2:K103)</f>
        <v>223600</v>
      </c>
      <c r="L105" s="253">
        <f>+L103</f>
        <v>-11769</v>
      </c>
      <c r="M105" s="252">
        <f>SUM(M2:M103)</f>
        <v>0</v>
      </c>
      <c r="N105" s="252">
        <f>SUM(N2:N103)</f>
        <v>223600</v>
      </c>
      <c r="O105" s="252"/>
      <c r="P105" s="252">
        <f>SUM(P2:P103)</f>
        <v>0</v>
      </c>
      <c r="Q105" s="252">
        <f>SUM(Q2:Q103)</f>
        <v>0</v>
      </c>
      <c r="R105" s="252">
        <f>SUM(R2:R103)</f>
        <v>-6769</v>
      </c>
      <c r="S105" s="252">
        <f>SUM(S2:S103)</f>
        <v>158714</v>
      </c>
      <c r="T105" s="252">
        <f>+SUM(T2:T103)</f>
        <v>30486</v>
      </c>
      <c r="U105" s="252">
        <f>SUM(U2:U103)</f>
        <v>27631</v>
      </c>
      <c r="V105" s="252">
        <f>SUM(V2:V103)</f>
        <v>216831</v>
      </c>
      <c r="W105" s="254">
        <f>+W103</f>
        <v>-5000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203100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-4232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</mergeCells>
  <conditionalFormatting sqref="AA78">
    <cfRule type="cellIs" dxfId="59" priority="3" operator="lessThan">
      <formula>$AA$78</formula>
    </cfRule>
    <cfRule type="cellIs" dxfId="58" priority="5" operator="greaterThan">
      <formula>$AE$78</formula>
    </cfRule>
  </conditionalFormatting>
  <conditionalFormatting sqref="AA79">
    <cfRule type="cellIs" dxfId="57" priority="4" operator="greaterThan">
      <formula>$AE$79</formula>
    </cfRule>
  </conditionalFormatting>
  <conditionalFormatting sqref="AA80">
    <cfRule type="cellIs" dxfId="56" priority="2" operator="greaterThan">
      <formula>$AE$79</formula>
    </cfRule>
  </conditionalFormatting>
  <conditionalFormatting sqref="AU4:AU23">
    <cfRule type="cellIs" dxfId="5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86"/>
  <sheetViews>
    <sheetView topLeftCell="T43" zoomScale="85" zoomScaleNormal="85" workbookViewId="0">
      <selection activeCell="AD61" sqref="AD61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208831</v>
      </c>
      <c r="M2" s="29"/>
      <c r="N2" s="798">
        <f>SUM(K2:K26)</f>
        <v>180393</v>
      </c>
      <c r="O2" s="30">
        <f>+K2/$N$2</f>
        <v>1.6630357053765945E-2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208831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40" t="s">
        <v>31</v>
      </c>
      <c r="AE2" s="740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207731</v>
      </c>
      <c r="M3" s="29"/>
      <c r="N3" s="799"/>
      <c r="O3" s="30">
        <f t="shared" ref="O3:O29" si="2">+K3/$N$2</f>
        <v>6.0977975863808461E-3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207731</v>
      </c>
      <c r="X3" s="32">
        <f t="shared" ref="X3:X56" si="9">W3-L3</f>
        <v>0</v>
      </c>
      <c r="Y3" s="37" t="s">
        <v>34</v>
      </c>
      <c r="Z3" s="38">
        <f>ROUND((Z13*57%),0)</f>
        <v>281580</v>
      </c>
      <c r="AA3" s="39">
        <f>ROUND((+Z14*0.57),0)</f>
        <v>280799</v>
      </c>
      <c r="AB3" s="454">
        <v>58801</v>
      </c>
      <c r="AC3" s="455">
        <v>156703</v>
      </c>
      <c r="AD3" s="40">
        <f>45600+13695-6926</f>
        <v>52369</v>
      </c>
      <c r="AE3" s="736">
        <f>SUM(AB3:AD3)</f>
        <v>267873</v>
      </c>
      <c r="AF3" s="41">
        <f>AA3-AE3</f>
        <v>12926</v>
      </c>
      <c r="AG3" s="42">
        <f>AA3-AB3-AC3-AD3</f>
        <v>12926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1"/>
        <v>196538</v>
      </c>
      <c r="M4" s="29"/>
      <c r="N4" s="799"/>
      <c r="O4" s="30">
        <f t="shared" si="2"/>
        <v>6.2047862167600741E-2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11193</v>
      </c>
      <c r="U4" s="28">
        <f t="shared" si="6"/>
        <v>0</v>
      </c>
      <c r="V4" s="28">
        <f t="shared" si="7"/>
        <v>11193</v>
      </c>
      <c r="W4" s="31">
        <f t="shared" si="8"/>
        <v>196538</v>
      </c>
      <c r="X4" s="32">
        <f t="shared" si="9"/>
        <v>0</v>
      </c>
      <c r="Y4" s="37" t="s">
        <v>38</v>
      </c>
      <c r="Z4" s="38">
        <f>ROUND((Z13*43%),0)</f>
        <v>212420</v>
      </c>
      <c r="AA4" s="39">
        <f>ROUND((+Z14*0.43),0)</f>
        <v>211831</v>
      </c>
      <c r="AB4" s="43">
        <f>T105</f>
        <v>30486</v>
      </c>
      <c r="AC4" s="43">
        <f>S105</f>
        <v>157976</v>
      </c>
      <c r="AD4" s="40">
        <f>U105</f>
        <v>27631</v>
      </c>
      <c r="AE4" s="736">
        <f>SUM(AB4:AD4)</f>
        <v>216093</v>
      </c>
      <c r="AF4" s="41">
        <f>AA4-AE4</f>
        <v>-4262</v>
      </c>
      <c r="AG4" s="42">
        <f>AA4-AB4-AC4-AD4</f>
        <v>-4262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195338</v>
      </c>
      <c r="M5" s="29"/>
      <c r="N5" s="799"/>
      <c r="O5" s="30">
        <f t="shared" si="2"/>
        <v>6.6521428215063775E-3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195338</v>
      </c>
      <c r="X5" s="32">
        <f t="shared" si="9"/>
        <v>0</v>
      </c>
      <c r="Y5" s="44" t="s">
        <v>41</v>
      </c>
      <c r="Z5" s="38">
        <f>SUM(Z3:Z4)</f>
        <v>494000</v>
      </c>
      <c r="AA5" s="45">
        <f>SUM(AA3:AA4)</f>
        <v>492630</v>
      </c>
      <c r="AB5" s="46">
        <f>SUM(AB3:AB4)</f>
        <v>89287</v>
      </c>
      <c r="AC5" s="41">
        <f>SUM(AC3:AC4)</f>
        <v>314679</v>
      </c>
      <c r="AD5" s="40">
        <f>SUM(AD3:AD4)</f>
        <v>80000</v>
      </c>
      <c r="AE5" s="41">
        <f>SUM(AB5:AD5)</f>
        <v>483966</v>
      </c>
      <c r="AF5" s="47">
        <f>SUM(AF3:AF4)</f>
        <v>8664</v>
      </c>
      <c r="AG5" s="47">
        <f>SUM(AG3:AG4)</f>
        <v>8664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183338</v>
      </c>
      <c r="M6" s="29"/>
      <c r="N6" s="799"/>
      <c r="O6" s="30">
        <f t="shared" si="2"/>
        <v>6.652142821506378E-2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183338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f>AD5+AG3</f>
        <v>92926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11209+1940</f>
        <v>13149</v>
      </c>
      <c r="I7" s="518">
        <f>460+800+3591</f>
        <v>4851</v>
      </c>
      <c r="J7" s="26"/>
      <c r="K7" s="27">
        <f t="shared" si="0"/>
        <v>18000</v>
      </c>
      <c r="L7" s="28">
        <f t="shared" si="1"/>
        <v>165338</v>
      </c>
      <c r="M7" s="29"/>
      <c r="N7" s="799"/>
      <c r="O7" s="30">
        <f t="shared" si="2"/>
        <v>9.9782142322595663E-2</v>
      </c>
      <c r="P7" s="802"/>
      <c r="Q7" s="31">
        <f t="shared" si="3"/>
        <v>0</v>
      </c>
      <c r="R7" s="31"/>
      <c r="S7" s="28">
        <f t="shared" si="4"/>
        <v>13149</v>
      </c>
      <c r="T7" s="28">
        <f t="shared" si="5"/>
        <v>4851</v>
      </c>
      <c r="U7" s="28">
        <f t="shared" si="6"/>
        <v>0</v>
      </c>
      <c r="V7" s="28">
        <f t="shared" si="7"/>
        <v>18000</v>
      </c>
      <c r="W7" s="31">
        <f t="shared" si="8"/>
        <v>165338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>
        <f>AD6-80000</f>
        <v>12926</v>
      </c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162838</v>
      </c>
      <c r="M8" s="29"/>
      <c r="N8" s="799"/>
      <c r="O8" s="30">
        <f t="shared" si="2"/>
        <v>1.3858630878138286E-2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162838</v>
      </c>
      <c r="X8" s="32">
        <f t="shared" si="9"/>
        <v>0</v>
      </c>
      <c r="Y8" s="14" t="s">
        <v>47</v>
      </c>
      <c r="Z8" s="732">
        <f ca="1">TODAY()+1</f>
        <v>41938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361</v>
      </c>
      <c r="I9" s="518">
        <v>1839</v>
      </c>
      <c r="J9" s="26"/>
      <c r="K9" s="27">
        <f t="shared" si="0"/>
        <v>2200</v>
      </c>
      <c r="L9" s="28">
        <f t="shared" si="1"/>
        <v>160638</v>
      </c>
      <c r="M9" s="29"/>
      <c r="N9" s="799"/>
      <c r="O9" s="30">
        <f t="shared" si="2"/>
        <v>1.2195595172761692E-2</v>
      </c>
      <c r="P9" s="802"/>
      <c r="Q9" s="31">
        <f t="shared" si="3"/>
        <v>0</v>
      </c>
      <c r="R9" s="31"/>
      <c r="S9" s="28">
        <f t="shared" si="4"/>
        <v>361</v>
      </c>
      <c r="T9" s="28">
        <f t="shared" si="5"/>
        <v>1839</v>
      </c>
      <c r="U9" s="28">
        <f t="shared" si="6"/>
        <v>0</v>
      </c>
      <c r="V9" s="28">
        <f t="shared" si="7"/>
        <v>2200</v>
      </c>
      <c r="W9" s="31">
        <f t="shared" si="8"/>
        <v>160638</v>
      </c>
      <c r="X9" s="32">
        <f t="shared" si="9"/>
        <v>0</v>
      </c>
      <c r="Y9" s="14" t="s">
        <v>189</v>
      </c>
      <c r="Z9" s="58">
        <v>494000</v>
      </c>
      <c r="AA9" s="59">
        <f>Z9*14.65/14.73</f>
        <v>491317.04005431093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1"/>
        <v>140638</v>
      </c>
      <c r="M10" s="29"/>
      <c r="N10" s="799"/>
      <c r="O10" s="30">
        <f t="shared" si="2"/>
        <v>0.11086904702510629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28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140638</v>
      </c>
      <c r="X10" s="32">
        <f t="shared" si="9"/>
        <v>0</v>
      </c>
      <c r="Y10" s="14" t="s">
        <v>191</v>
      </c>
      <c r="Z10" s="58">
        <f>ROUND((Z9*Z30),0)</f>
        <v>492630</v>
      </c>
      <c r="AA10" s="59">
        <f>Z10*14.65/14.73</f>
        <v>489954.48065173114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122638</v>
      </c>
      <c r="M11" s="29"/>
      <c r="N11" s="799"/>
      <c r="O11" s="30">
        <f t="shared" si="2"/>
        <v>9.9782142322595663E-2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122638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119038</v>
      </c>
      <c r="M12" s="29"/>
      <c r="N12" s="799"/>
      <c r="O12" s="30">
        <f t="shared" si="2"/>
        <v>1.9956428464519133E-2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119038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1"/>
        <v>113038</v>
      </c>
      <c r="M13" s="29"/>
      <c r="N13" s="799"/>
      <c r="O13" s="30">
        <f t="shared" si="2"/>
        <v>3.326071410753189E-2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113038</v>
      </c>
      <c r="X13" s="32">
        <f t="shared" si="9"/>
        <v>0</v>
      </c>
      <c r="Y13" s="14" t="s">
        <v>67</v>
      </c>
      <c r="Z13" s="67">
        <f>Z14/Z30</f>
        <v>494000.31443116145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26"/>
      <c r="I14" s="26">
        <v>0</v>
      </c>
      <c r="J14" s="26"/>
      <c r="K14" s="27">
        <f t="shared" si="0"/>
        <v>0</v>
      </c>
      <c r="L14" s="28">
        <f t="shared" si="1"/>
        <v>113038</v>
      </c>
      <c r="M14" s="29"/>
      <c r="N14" s="799"/>
      <c r="O14" s="30">
        <f t="shared" si="2"/>
        <v>0</v>
      </c>
      <c r="P14" s="802"/>
      <c r="Q14" s="31">
        <f t="shared" si="3"/>
        <v>0</v>
      </c>
      <c r="R14" s="31">
        <v>0</v>
      </c>
      <c r="S14" s="28">
        <f t="shared" si="4"/>
        <v>0</v>
      </c>
      <c r="T14" s="28">
        <f t="shared" si="5"/>
        <v>0</v>
      </c>
      <c r="U14" s="28">
        <f t="shared" si="6"/>
        <v>0</v>
      </c>
      <c r="V14" s="28">
        <f t="shared" si="7"/>
        <v>0</v>
      </c>
      <c r="W14" s="31">
        <f t="shared" si="8"/>
        <v>113038</v>
      </c>
      <c r="X14" s="32">
        <f t="shared" si="9"/>
        <v>0</v>
      </c>
      <c r="Y14" s="14" t="s">
        <v>70</v>
      </c>
      <c r="Z14" s="67">
        <f>+Z10-(Z11+Z12)</f>
        <v>492630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14700</v>
      </c>
      <c r="I15" s="26"/>
      <c r="J15" s="26"/>
      <c r="K15" s="27">
        <f t="shared" si="0"/>
        <v>14700</v>
      </c>
      <c r="L15" s="28">
        <f t="shared" si="1"/>
        <v>98338</v>
      </c>
      <c r="M15" s="29"/>
      <c r="N15" s="799"/>
      <c r="O15" s="30">
        <f t="shared" si="2"/>
        <v>8.1488749563453131E-2</v>
      </c>
      <c r="P15" s="802"/>
      <c r="Q15" s="31">
        <f t="shared" si="3"/>
        <v>0</v>
      </c>
      <c r="R15" s="31">
        <v>0</v>
      </c>
      <c r="S15" s="28">
        <f t="shared" si="4"/>
        <v>14700</v>
      </c>
      <c r="T15" s="28">
        <f t="shared" si="5"/>
        <v>0</v>
      </c>
      <c r="U15" s="28">
        <f t="shared" si="6"/>
        <v>0</v>
      </c>
      <c r="V15" s="28">
        <f t="shared" si="7"/>
        <v>14700</v>
      </c>
      <c r="W15" s="31">
        <f t="shared" si="8"/>
        <v>98338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5500</v>
      </c>
      <c r="I16" s="26"/>
      <c r="J16" s="26"/>
      <c r="K16" s="27">
        <f t="shared" si="0"/>
        <v>5500</v>
      </c>
      <c r="L16" s="28">
        <f t="shared" si="1"/>
        <v>92838</v>
      </c>
      <c r="M16" s="29"/>
      <c r="N16" s="799"/>
      <c r="O16" s="30">
        <f t="shared" si="2"/>
        <v>3.0488987931904233E-2</v>
      </c>
      <c r="P16" s="802"/>
      <c r="Q16" s="31">
        <v>0</v>
      </c>
      <c r="R16" s="31">
        <v>0</v>
      </c>
      <c r="S16" s="28">
        <f t="shared" si="4"/>
        <v>5500</v>
      </c>
      <c r="T16" s="28">
        <f t="shared" si="5"/>
        <v>0</v>
      </c>
      <c r="U16" s="28">
        <f t="shared" si="6"/>
        <v>0</v>
      </c>
      <c r="V16" s="28">
        <f t="shared" si="7"/>
        <v>5500</v>
      </c>
      <c r="W16" s="31">
        <f t="shared" si="8"/>
        <v>92838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5000</v>
      </c>
      <c r="J17" s="26"/>
      <c r="K17" s="27">
        <f t="shared" si="0"/>
        <v>5000</v>
      </c>
      <c r="L17" s="28">
        <f t="shared" si="1"/>
        <v>87838</v>
      </c>
      <c r="M17" s="29"/>
      <c r="N17" s="799"/>
      <c r="O17" s="30">
        <f t="shared" si="2"/>
        <v>2.7717261756276573E-2</v>
      </c>
      <c r="P17" s="802"/>
      <c r="Q17" s="31">
        <f t="shared" si="3"/>
        <v>0</v>
      </c>
      <c r="R17" s="31">
        <v>0</v>
      </c>
      <c r="S17" s="28">
        <f t="shared" si="4"/>
        <v>0</v>
      </c>
      <c r="T17" s="28">
        <f t="shared" si="5"/>
        <v>5000</v>
      </c>
      <c r="U17" s="28">
        <f t="shared" si="6"/>
        <v>0</v>
      </c>
      <c r="V17" s="28">
        <f t="shared" si="7"/>
        <v>5000</v>
      </c>
      <c r="W17" s="31">
        <f t="shared" si="8"/>
        <v>87838</v>
      </c>
      <c r="X17" s="32">
        <f t="shared" si="9"/>
        <v>0</v>
      </c>
      <c r="AA17" s="35"/>
      <c r="AB17" s="790">
        <f>+Z61-Z24-((Z12+Z11)*0.43)</f>
        <v>4262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303</v>
      </c>
      <c r="J18" s="26"/>
      <c r="K18" s="27">
        <f t="shared" si="0"/>
        <v>303</v>
      </c>
      <c r="L18" s="28">
        <f t="shared" si="1"/>
        <v>87535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303</v>
      </c>
      <c r="U18" s="28">
        <f t="shared" si="6"/>
        <v>0</v>
      </c>
      <c r="V18" s="28">
        <f t="shared" si="7"/>
        <v>303</v>
      </c>
      <c r="W18" s="31">
        <f t="shared" si="8"/>
        <v>87535</v>
      </c>
      <c r="X18" s="32"/>
      <c r="Y18" s="14" t="s">
        <v>77</v>
      </c>
      <c r="Z18" s="71">
        <f>ROUND(Z14*0.43,0)</f>
        <v>211831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697</v>
      </c>
      <c r="I19" s="26"/>
      <c r="J19" s="26"/>
      <c r="K19" s="27">
        <f t="shared" si="0"/>
        <v>697</v>
      </c>
      <c r="L19" s="28">
        <f t="shared" si="1"/>
        <v>86838</v>
      </c>
      <c r="M19" s="29"/>
      <c r="N19" s="799"/>
      <c r="O19" s="30">
        <f t="shared" si="2"/>
        <v>3.8637862888249545E-3</v>
      </c>
      <c r="P19" s="802"/>
      <c r="Q19" s="31">
        <f t="shared" si="3"/>
        <v>0</v>
      </c>
      <c r="R19" s="31">
        <v>0</v>
      </c>
      <c r="S19" s="28">
        <f t="shared" si="4"/>
        <v>697</v>
      </c>
      <c r="T19" s="28">
        <f t="shared" si="5"/>
        <v>0</v>
      </c>
      <c r="U19" s="28">
        <f t="shared" si="6"/>
        <v>0</v>
      </c>
      <c r="V19" s="28">
        <f t="shared" si="7"/>
        <v>697</v>
      </c>
      <c r="W19" s="31">
        <f t="shared" si="8"/>
        <v>86838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85338</v>
      </c>
      <c r="M20" s="29"/>
      <c r="N20" s="799"/>
      <c r="O20" s="30">
        <f t="shared" si="2"/>
        <v>8.3151785268829725E-3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85338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85338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85338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77838</v>
      </c>
      <c r="M22" s="29"/>
      <c r="N22" s="799"/>
      <c r="O22" s="30">
        <f t="shared" si="2"/>
        <v>4.1575892634414864E-2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77838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77838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77838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77838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77838</v>
      </c>
      <c r="X24" s="32">
        <f t="shared" si="9"/>
        <v>0</v>
      </c>
      <c r="Y24" s="74" t="s">
        <v>169</v>
      </c>
      <c r="Z24" s="680">
        <f>+Z18+Z19</f>
        <v>211831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65838</v>
      </c>
      <c r="M25" s="29"/>
      <c r="N25" s="799"/>
      <c r="O25" s="30">
        <f t="shared" si="2"/>
        <v>6.652142821506378E-2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65838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31438</v>
      </c>
      <c r="M26" s="86"/>
      <c r="N26" s="800"/>
      <c r="O26" s="87">
        <f t="shared" si="2"/>
        <v>0.19069476088318282</v>
      </c>
      <c r="P26" s="803"/>
      <c r="Q26" s="144">
        <f t="shared" si="3"/>
        <v>0</v>
      </c>
      <c r="R26" s="144">
        <v>-6769</v>
      </c>
      <c r="S26" s="423">
        <f t="shared" si="4"/>
        <v>0</v>
      </c>
      <c r="T26" s="423">
        <f t="shared" si="5"/>
        <v>0</v>
      </c>
      <c r="U26" s="423">
        <f t="shared" si="6"/>
        <v>27631</v>
      </c>
      <c r="V26" s="423">
        <f t="shared" si="7"/>
        <v>27631</v>
      </c>
      <c r="W26" s="144">
        <f t="shared" si="8"/>
        <v>38207</v>
      </c>
      <c r="X26" s="32">
        <f t="shared" si="9"/>
        <v>6769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31438</v>
      </c>
      <c r="M27" s="95"/>
      <c r="N27" s="804">
        <f>SUM(K27:K49)</f>
        <v>36207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38207</v>
      </c>
      <c r="X27" s="32">
        <f t="shared" si="9"/>
        <v>6769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31438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38207</v>
      </c>
      <c r="X28" s="32">
        <f t="shared" si="9"/>
        <v>6769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31438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38207</v>
      </c>
      <c r="X29" s="32">
        <f t="shared" si="9"/>
        <v>6769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31438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38207</v>
      </c>
      <c r="X30" s="32">
        <f t="shared" si="9"/>
        <v>6769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31438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38207</v>
      </c>
      <c r="X31" s="32">
        <f t="shared" si="9"/>
        <v>6769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31438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38207</v>
      </c>
      <c r="X32" s="32">
        <f t="shared" si="9"/>
        <v>6769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31438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38207</v>
      </c>
      <c r="X33" s="32">
        <f t="shared" si="9"/>
        <v>6769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31438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38207</v>
      </c>
      <c r="X34" s="32">
        <f t="shared" si="9"/>
        <v>6769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31438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38207</v>
      </c>
      <c r="X35" s="32">
        <f>W35-L35</f>
        <v>6769</v>
      </c>
      <c r="Y35" s="117" t="s">
        <v>56</v>
      </c>
      <c r="Z35" s="113">
        <f>Z34*43%</f>
        <v>34400</v>
      </c>
      <c r="AA35" s="113">
        <f>AD4-Z35</f>
        <v>-6769</v>
      </c>
      <c r="AB35" s="113">
        <f>Z35+AA35</f>
        <v>27631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31438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38207</v>
      </c>
      <c r="X36" s="32">
        <f t="shared" si="9"/>
        <v>6769</v>
      </c>
      <c r="Y36" s="117" t="s">
        <v>60</v>
      </c>
      <c r="Z36" s="113">
        <f>Z34*57%</f>
        <v>45599.999999999993</v>
      </c>
      <c r="AA36" s="113">
        <f>AD3-Z36</f>
        <v>6769.0000000000073</v>
      </c>
      <c r="AB36" s="113">
        <f>Z36+AA36</f>
        <v>52369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31438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38207</v>
      </c>
      <c r="X37" s="32">
        <f t="shared" si="9"/>
        <v>6769</v>
      </c>
      <c r="Y37" s="117" t="s">
        <v>94</v>
      </c>
      <c r="Z37" s="113">
        <f>+Z35+Z36</f>
        <v>80000</v>
      </c>
      <c r="AA37" s="113">
        <f>SUM(AA35:AA36)</f>
        <v>7.2759576141834259E-12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26"/>
      <c r="J38" s="26"/>
      <c r="K38" s="27">
        <f t="shared" si="0"/>
        <v>11207</v>
      </c>
      <c r="L38" s="28">
        <f>+L37-K38</f>
        <v>20231</v>
      </c>
      <c r="M38" s="29"/>
      <c r="N38" s="799"/>
      <c r="O38" s="30">
        <f t="shared" si="10"/>
        <v>0.30952578230728867</v>
      </c>
      <c r="P38" s="802"/>
      <c r="Q38" s="31">
        <f t="shared" si="11"/>
        <v>0</v>
      </c>
      <c r="R38" s="31"/>
      <c r="S38" s="28">
        <f t="shared" si="4"/>
        <v>11207</v>
      </c>
      <c r="T38" s="28">
        <f t="shared" si="5"/>
        <v>0</v>
      </c>
      <c r="U38" s="28">
        <f t="shared" si="6"/>
        <v>0</v>
      </c>
      <c r="V38" s="28">
        <f t="shared" si="7"/>
        <v>11207</v>
      </c>
      <c r="W38" s="31">
        <f t="shared" si="8"/>
        <v>27000</v>
      </c>
      <c r="X38" s="32">
        <f t="shared" si="9"/>
        <v>6769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20231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27000</v>
      </c>
      <c r="X39" s="32">
        <f t="shared" si="9"/>
        <v>6769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20231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27000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20231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27000</v>
      </c>
      <c r="X41" s="32">
        <f t="shared" si="9"/>
        <v>6769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15000</v>
      </c>
      <c r="I42" s="26"/>
      <c r="J42" s="26"/>
      <c r="K42" s="27">
        <f t="shared" si="0"/>
        <v>15000</v>
      </c>
      <c r="L42" s="28">
        <f t="shared" si="1"/>
        <v>5231</v>
      </c>
      <c r="M42" s="29"/>
      <c r="N42" s="799"/>
      <c r="O42" s="30">
        <f t="shared" si="10"/>
        <v>0.41428453061562681</v>
      </c>
      <c r="P42" s="802"/>
      <c r="Q42" s="31">
        <f t="shared" si="11"/>
        <v>0</v>
      </c>
      <c r="R42" s="31"/>
      <c r="S42" s="28">
        <f t="shared" si="4"/>
        <v>15000</v>
      </c>
      <c r="T42" s="28">
        <f t="shared" si="5"/>
        <v>0</v>
      </c>
      <c r="U42" s="28">
        <f t="shared" si="6"/>
        <v>0</v>
      </c>
      <c r="V42" s="28">
        <f t="shared" si="7"/>
        <v>15000</v>
      </c>
      <c r="W42" s="31">
        <f t="shared" si="8"/>
        <v>12000</v>
      </c>
      <c r="X42" s="32">
        <f t="shared" si="9"/>
        <v>6769</v>
      </c>
      <c r="Y42" s="74" t="s">
        <v>96</v>
      </c>
      <c r="Z42" s="75">
        <v>35500</v>
      </c>
      <c r="AA42" s="129">
        <f>+H7+H8+H17+H18+H19+H22+H32+H33+H43+H44+H45+H53</f>
        <v>30108</v>
      </c>
      <c r="AB42" s="129">
        <f>+I7+I8+I17+I18+I19+I22+I32+I33+I43+I44+I45+I53</f>
        <v>10154</v>
      </c>
      <c r="AC42" s="130">
        <f>+AA42+AB42</f>
        <v>40262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5231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12000</v>
      </c>
      <c r="X43" s="32">
        <f t="shared" si="9"/>
        <v>6769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5231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12000</v>
      </c>
      <c r="X44" s="32">
        <f t="shared" si="9"/>
        <v>6769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5231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12000</v>
      </c>
      <c r="X45" s="32">
        <f t="shared" si="9"/>
        <v>6769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-4769</v>
      </c>
      <c r="M46" s="29"/>
      <c r="N46" s="799"/>
      <c r="O46" s="30">
        <f t="shared" si="10"/>
        <v>0.27618968707708452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2000</v>
      </c>
      <c r="X46" s="32">
        <f t="shared" si="9"/>
        <v>6769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-4769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2000</v>
      </c>
      <c r="X47" s="32">
        <f t="shared" si="9"/>
        <v>6769</v>
      </c>
      <c r="Y47" s="57">
        <v>20000</v>
      </c>
      <c r="Z47" s="89">
        <v>4586</v>
      </c>
      <c r="AA47" s="35"/>
      <c r="AB47" s="57">
        <f>57000-AA60</f>
        <v>4631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-4769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2000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-4769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2000</v>
      </c>
      <c r="X49" s="32">
        <f t="shared" si="9"/>
        <v>6769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-4769</v>
      </c>
      <c r="M50" s="95"/>
      <c r="N50" s="804">
        <f>SUM(K50:K55)</f>
        <v>6262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2000</v>
      </c>
      <c r="X50" s="32">
        <f t="shared" si="9"/>
        <v>6769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0"/>
        <v>0</v>
      </c>
      <c r="L51" s="28">
        <f t="shared" si="1"/>
        <v>-4769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2000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-4769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2000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6262</v>
      </c>
      <c r="I53" s="518"/>
      <c r="J53" s="26"/>
      <c r="K53" s="27">
        <f t="shared" si="0"/>
        <v>6262</v>
      </c>
      <c r="L53" s="28">
        <f>+L52-K53</f>
        <v>-11031</v>
      </c>
      <c r="M53" s="29"/>
      <c r="N53" s="799"/>
      <c r="O53" s="30">
        <f t="shared" si="10"/>
        <v>0.17294998204767034</v>
      </c>
      <c r="P53" s="802"/>
      <c r="Q53" s="97">
        <f t="shared" si="11"/>
        <v>0</v>
      </c>
      <c r="R53" s="31"/>
      <c r="S53" s="28">
        <f t="shared" si="4"/>
        <v>6262</v>
      </c>
      <c r="T53" s="28">
        <f t="shared" si="5"/>
        <v>0</v>
      </c>
      <c r="U53" s="28">
        <f t="shared" si="6"/>
        <v>0</v>
      </c>
      <c r="V53" s="28">
        <f t="shared" si="7"/>
        <v>6262</v>
      </c>
      <c r="W53" s="31">
        <f t="shared" si="8"/>
        <v>-4262</v>
      </c>
      <c r="X53" s="32">
        <f t="shared" si="9"/>
        <v>6769</v>
      </c>
      <c r="Y53" s="80">
        <f>+Y52-15000</f>
        <v>-2513.5</v>
      </c>
      <c r="Z53" s="49">
        <f>+Z60-43000</f>
        <v>-15369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-11031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-4262</v>
      </c>
      <c r="X54" s="32">
        <f t="shared" si="9"/>
        <v>6769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-11031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-4262</v>
      </c>
      <c r="X55" s="119">
        <f t="shared" si="9"/>
        <v>6769</v>
      </c>
      <c r="Y55" s="807">
        <f ca="1">Z8</f>
        <v>41938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-11031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-4262</v>
      </c>
      <c r="X56" s="119">
        <f t="shared" si="9"/>
        <v>6769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-11031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-4262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-11031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-4262</v>
      </c>
      <c r="X58" s="408"/>
      <c r="Y58" s="180" t="s">
        <v>7</v>
      </c>
      <c r="Z58" s="181">
        <f>+AB4</f>
        <v>30486</v>
      </c>
      <c r="AA58" s="182">
        <f>+AB3</f>
        <v>58801</v>
      </c>
      <c r="AB58" s="182">
        <f>Z12</f>
        <v>0</v>
      </c>
      <c r="AC58" s="181">
        <f>AB10</f>
        <v>0</v>
      </c>
      <c r="AD58" s="661">
        <f>SUM(Z58:AC58)</f>
        <v>89287</v>
      </c>
      <c r="AE58" s="185">
        <v>97040</v>
      </c>
      <c r="AF58" s="17"/>
      <c r="AG58" s="17"/>
      <c r="AI58" s="50"/>
      <c r="AJ58" s="50"/>
      <c r="AK58" s="722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-11031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-4262</v>
      </c>
      <c r="X59" s="408"/>
      <c r="Y59" s="180" t="s">
        <v>17</v>
      </c>
      <c r="Z59" s="182">
        <f>+AC4</f>
        <v>157976</v>
      </c>
      <c r="AA59" s="182">
        <f>AC3</f>
        <v>156703</v>
      </c>
      <c r="AB59" s="182">
        <f>Z11</f>
        <v>0</v>
      </c>
      <c r="AC59" s="181">
        <v>0</v>
      </c>
      <c r="AD59" s="661">
        <f>SUM(Z59:AC59)</f>
        <v>314679</v>
      </c>
      <c r="AE59" s="185"/>
      <c r="AF59" s="17"/>
      <c r="AG59" s="51"/>
      <c r="AH59" s="19"/>
      <c r="AI59" s="50"/>
      <c r="AJ59" s="50"/>
      <c r="AK59" s="722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-11031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-4262</v>
      </c>
      <c r="X60" s="408"/>
      <c r="Y60" s="180" t="s">
        <v>112</v>
      </c>
      <c r="Z60" s="181">
        <f>+AD4+AH11</f>
        <v>27631</v>
      </c>
      <c r="AA60" s="182">
        <f>+AD3+AH10</f>
        <v>52369</v>
      </c>
      <c r="AB60" s="191">
        <v>0</v>
      </c>
      <c r="AC60" s="181">
        <v>0</v>
      </c>
      <c r="AD60" s="662">
        <f>SUM(Z60:AC60)</f>
        <v>80000</v>
      </c>
      <c r="AE60" s="185"/>
      <c r="AF60" s="17"/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-11031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-4262</v>
      </c>
      <c r="X61" s="408"/>
      <c r="Y61" s="193" t="s">
        <v>113</v>
      </c>
      <c r="Z61" s="194">
        <f>SUM(Z58:Z60)</f>
        <v>216093</v>
      </c>
      <c r="AA61" s="194">
        <f>SUM(AA58:AA60)</f>
        <v>267873</v>
      </c>
      <c r="AB61" s="194">
        <f>SUM(AB58:AB60)</f>
        <v>0</v>
      </c>
      <c r="AC61" s="194">
        <f>AB10</f>
        <v>0</v>
      </c>
      <c r="AD61" s="195">
        <f>SUM(AD58:AD60)</f>
        <v>483966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-11031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-4262</v>
      </c>
      <c r="X62" s="408"/>
      <c r="Y62" s="199" t="s">
        <v>114</v>
      </c>
      <c r="Z62" s="200">
        <f>(Z58/$Z$28+(Z59/$Z$27)+(Z60/$Z$29))</f>
        <v>216695.95632756283</v>
      </c>
      <c r="AA62" s="200">
        <f>(AA58/$Z$28+(AA59/$Z$27)+(AA60/$Z$29))</f>
        <v>268618.806458176</v>
      </c>
      <c r="AB62" s="200">
        <f>(AB58/$Z$28)+(AB59/$Z$27)</f>
        <v>0</v>
      </c>
      <c r="AC62" s="200">
        <f>AB9</f>
        <v>0</v>
      </c>
      <c r="AD62" s="201">
        <f>(AD58/$Z$28+(AD59/$Z$27)+(AD60/$Z$29))</f>
        <v>485314.76278573886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-11031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-4262</v>
      </c>
      <c r="X63" s="408"/>
      <c r="Y63" s="368" t="s">
        <v>318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-11031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-4262</v>
      </c>
      <c r="X64" s="408"/>
      <c r="Y64" s="368" t="s">
        <v>317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-11031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-4262</v>
      </c>
      <c r="X65" s="408"/>
      <c r="Y65" s="371" t="s">
        <v>115</v>
      </c>
      <c r="Z65" s="484"/>
      <c r="AA65" s="203">
        <v>154638.51771000004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-11031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-4262</v>
      </c>
      <c r="X66" s="408"/>
      <c r="Y66" s="814" t="s">
        <v>116</v>
      </c>
      <c r="Z66" s="815"/>
      <c r="AA66" s="203">
        <v>39704.620560000003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-11031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-4262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-11031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-4262</v>
      </c>
      <c r="X68" s="211"/>
      <c r="Y68" s="814" t="s">
        <v>188</v>
      </c>
      <c r="Z68" s="815"/>
      <c r="AA68" s="207">
        <f>Z9*Z30+AC61</f>
        <v>492629.68644104362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-11031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-4262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-11031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-4262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-11031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-4262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-11031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-4262</v>
      </c>
      <c r="X72" s="211"/>
      <c r="Y72" s="214" t="s">
        <v>47</v>
      </c>
      <c r="Z72" s="215">
        <f ca="1">Z8</f>
        <v>41938</v>
      </c>
      <c r="AA72" s="818" t="s">
        <v>118</v>
      </c>
      <c r="AB72" s="818"/>
      <c r="AC72" s="818"/>
      <c r="AD72" s="216">
        <v>16.5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-11031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-4262</v>
      </c>
      <c r="X73" s="211"/>
      <c r="Y73" s="214" t="s">
        <v>119</v>
      </c>
      <c r="Z73" s="480">
        <f>AD72</f>
        <v>16.5</v>
      </c>
      <c r="AA73" s="739" t="s">
        <v>120</v>
      </c>
      <c r="AB73" s="739"/>
      <c r="AC73" s="739"/>
      <c r="AD73" s="219">
        <f>24-AD72</f>
        <v>7.5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-11031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-4262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38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-11031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-4262</v>
      </c>
      <c r="X75" s="211"/>
      <c r="Y75" s="738" t="s">
        <v>121</v>
      </c>
      <c r="Z75" s="738" t="s">
        <v>122</v>
      </c>
      <c r="AA75" s="738" t="s">
        <v>123</v>
      </c>
      <c r="AB75" s="820" t="s">
        <v>124</v>
      </c>
      <c r="AC75" s="821"/>
      <c r="AD75" s="822"/>
      <c r="AE75" s="738" t="s">
        <v>125</v>
      </c>
      <c r="AF75" s="738" t="s">
        <v>126</v>
      </c>
      <c r="AG75" s="149"/>
      <c r="AH75" s="738" t="s">
        <v>121</v>
      </c>
      <c r="AI75" s="738"/>
      <c r="AJ75" s="214" t="s">
        <v>7</v>
      </c>
      <c r="AK75" s="236">
        <f>((+AD78-AA78)/$AD$73)*24</f>
        <v>84118.399999999994</v>
      </c>
      <c r="AL75" s="236">
        <f>AK75</f>
        <v>84118.399999999994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-11031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-4262</v>
      </c>
      <c r="X76" s="211"/>
      <c r="Y76" s="738"/>
      <c r="Z76" s="738"/>
      <c r="AA76" s="738"/>
      <c r="AB76" s="738"/>
      <c r="AC76" s="738"/>
      <c r="AD76" s="738"/>
      <c r="AE76" s="738"/>
      <c r="AF76" s="738"/>
      <c r="AG76" s="149"/>
      <c r="AH76" s="738"/>
      <c r="AI76" s="738"/>
      <c r="AJ76" s="214" t="s">
        <v>6</v>
      </c>
      <c r="AK76" s="236">
        <f>((+AD79-AA79)/$AD$73)*24</f>
        <v>322172.79999999999</v>
      </c>
      <c r="AL76" s="236">
        <f>+AK76</f>
        <v>322172.79999999999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-11031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-4262</v>
      </c>
      <c r="X77" s="211"/>
      <c r="Y77" s="738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38"/>
      <c r="AI77" s="78"/>
      <c r="AJ77" s="214" t="s">
        <v>8</v>
      </c>
      <c r="AK77" s="236">
        <f>((+AD80-AA80)/$AD$73)*24</f>
        <v>79376</v>
      </c>
      <c r="AL77" s="236">
        <f>AK77</f>
        <v>79376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-11031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-4262</v>
      </c>
      <c r="X78" s="211"/>
      <c r="Y78" s="214" t="s">
        <v>7</v>
      </c>
      <c r="Z78" s="224">
        <v>89287</v>
      </c>
      <c r="AA78" s="225">
        <v>63000</v>
      </c>
      <c r="AB78" s="226">
        <f t="shared" ref="AB78:AC80" si="23">+Z58</f>
        <v>30486</v>
      </c>
      <c r="AC78" s="226">
        <f t="shared" si="23"/>
        <v>58801</v>
      </c>
      <c r="AD78" s="226">
        <f>+AB78+AC78+AB58+AC58</f>
        <v>89287</v>
      </c>
      <c r="AE78" s="519">
        <f>+((AD58/24)*$AD$73)+AA78</f>
        <v>90902.1875</v>
      </c>
      <c r="AF78" s="227">
        <f>+AE78-AD78</f>
        <v>1615.1875</v>
      </c>
      <c r="AG78" s="212"/>
      <c r="AH78" s="214" t="s">
        <v>7</v>
      </c>
      <c r="AI78" s="446">
        <f>+AA78</f>
        <v>63000</v>
      </c>
      <c r="AK78" s="231">
        <f>+SUM(AK75:AK77)</f>
        <v>485667.19999999995</v>
      </c>
      <c r="AL78" s="231">
        <f>+SUM(AL75:AL77)</f>
        <v>485667.19999999995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-11031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-4262</v>
      </c>
      <c r="X79" s="211"/>
      <c r="Y79" s="214" t="s">
        <v>6</v>
      </c>
      <c r="Z79" s="224">
        <v>315417</v>
      </c>
      <c r="AA79" s="225">
        <v>214000</v>
      </c>
      <c r="AB79" s="226">
        <f t="shared" si="23"/>
        <v>157976</v>
      </c>
      <c r="AC79" s="226">
        <f t="shared" si="23"/>
        <v>156703</v>
      </c>
      <c r="AD79" s="226">
        <f>+AB79+AC79+AB59</f>
        <v>314679</v>
      </c>
      <c r="AE79" s="519">
        <f>+((AD59/24)*$AD$73)+AA79</f>
        <v>312337.1875</v>
      </c>
      <c r="AF79" s="227">
        <f>+AE79-AD79</f>
        <v>-2341.8125</v>
      </c>
      <c r="AG79" s="212"/>
      <c r="AH79" s="214" t="s">
        <v>6</v>
      </c>
      <c r="AI79" s="446">
        <f>+AA79</f>
        <v>214000</v>
      </c>
      <c r="AJ79" s="53"/>
      <c r="AK79" s="481">
        <f>Z10</f>
        <v>492630</v>
      </c>
      <c r="AL79" s="481">
        <f>AK79-AK78</f>
        <v>6962.8000000000466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-11031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-4262</v>
      </c>
      <c r="X80" s="211"/>
      <c r="Y80" s="214" t="s">
        <v>8</v>
      </c>
      <c r="Z80" s="224">
        <v>80000</v>
      </c>
      <c r="AA80" s="225">
        <v>55195</v>
      </c>
      <c r="AB80" s="226">
        <f t="shared" si="23"/>
        <v>27631</v>
      </c>
      <c r="AC80" s="226">
        <f t="shared" si="23"/>
        <v>52369</v>
      </c>
      <c r="AD80" s="226">
        <f>+AB80+AC80</f>
        <v>80000</v>
      </c>
      <c r="AE80" s="519">
        <f>+((AD60/24)*$AD$73)+AA80</f>
        <v>80195</v>
      </c>
      <c r="AF80" s="227">
        <f>+AE80-AD80</f>
        <v>195</v>
      </c>
      <c r="AG80" s="149"/>
      <c r="AH80" s="214" t="s">
        <v>8</v>
      </c>
      <c r="AI80" s="447">
        <f>+AA80</f>
        <v>55195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-11031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-4262</v>
      </c>
      <c r="X81" s="211"/>
      <c r="Y81" s="228" t="s">
        <v>130</v>
      </c>
      <c r="Z81" s="229">
        <f t="shared" ref="Z81:AE81" si="24">SUM(Z78:Z80)</f>
        <v>484704</v>
      </c>
      <c r="AA81" s="230">
        <f t="shared" si="24"/>
        <v>332195</v>
      </c>
      <c r="AB81" s="229">
        <f t="shared" si="24"/>
        <v>216093</v>
      </c>
      <c r="AC81" s="229">
        <f t="shared" si="24"/>
        <v>267873</v>
      </c>
      <c r="AD81" s="229">
        <f t="shared" si="24"/>
        <v>483966</v>
      </c>
      <c r="AE81" s="229">
        <f t="shared" si="24"/>
        <v>483434.375</v>
      </c>
      <c r="AF81" s="227">
        <f>+SUM(AF78:AF80)</f>
        <v>-531.625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-11031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-4262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-11031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-4262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-11031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-4262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-11031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-4262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-11031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-4262</v>
      </c>
      <c r="Y86" s="14" t="s">
        <v>177</v>
      </c>
      <c r="Z86" s="336" t="s">
        <v>178</v>
      </c>
      <c r="AA86" s="337">
        <f>+AA81</f>
        <v>332195</v>
      </c>
      <c r="AB86" s="337">
        <f>AA87-AA86</f>
        <v>-60005.270833333314</v>
      </c>
      <c r="AC86" s="42">
        <f>AB86*24/5.5</f>
        <v>-261841.18181818174</v>
      </c>
      <c r="AD86" s="338">
        <f>AC86+353111</f>
        <v>91269.818181818264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-11031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-4262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20916.000000000018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-11031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-4262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-11031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-4262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-11031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-4262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-11031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-4262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-11031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-4262</v>
      </c>
      <c r="Y92" s="882" t="s">
        <v>158</v>
      </c>
      <c r="Z92" s="586" t="s">
        <v>283</v>
      </c>
      <c r="AA92" s="699">
        <f>(SUMIF($D$2:$D$57,"domiciliario",$I$2:$I$103))/1000</f>
        <v>20.183</v>
      </c>
      <c r="AB92" s="700">
        <f>(SUMIF($D$2:$D$57,"domiciliario",$T$2:$T$103))/1000</f>
        <v>20.183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-11031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-4262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-11031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-4262</v>
      </c>
      <c r="Y94" s="883"/>
      <c r="Z94" s="588" t="s">
        <v>80</v>
      </c>
      <c r="AA94" s="701">
        <f>(SUMIF($D$2:$D$57,"gnv",$I$2:$I$103))/1000</f>
        <v>0.30299999999999999</v>
      </c>
      <c r="AB94" s="702">
        <f>(SUMIF($D$2:$D$57,"gnv",$T$2:$T$103))/1000</f>
        <v>0.30299999999999999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-11031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-4262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10</v>
      </c>
      <c r="AB95" s="702">
        <f>(SUMIF($D$2:$D$57,"termico",$T$2:$T$103)+SUMIF($D$2:$D$57,"electrico",$T$2:$T$103)+SUMIF($D$2:$D$57,"térmico",$T$2:$T$103))/1000</f>
        <v>10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-11031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-4262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-11031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-4262</v>
      </c>
      <c r="Y97" s="825" t="s">
        <v>154</v>
      </c>
      <c r="Z97" s="489" t="s">
        <v>283</v>
      </c>
      <c r="AA97" s="705">
        <f>(SUMIF($D$2:$D$57,"domiciliario",$H$2:$H$103))/1000</f>
        <v>31.01</v>
      </c>
      <c r="AB97" s="706">
        <f>(SUMIF($D$2:$D$57,"domiciliario",$S$2:$S$103))/1000</f>
        <v>31.01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-11031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-4262</v>
      </c>
      <c r="Y98" s="826"/>
      <c r="Z98" s="492" t="s">
        <v>284</v>
      </c>
      <c r="AA98" s="707">
        <f>(SUMIF($D$2:$D$57,"industrial",$H$2:$H$103))/1000</f>
        <v>23.959</v>
      </c>
      <c r="AB98" s="708">
        <f>(SUMIF($D$2:$D$57,"industrial",$S$2:$S$103))/1000</f>
        <v>23.959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-11031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-4262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-11031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-4262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103.00700000000001</v>
      </c>
      <c r="AB100" s="708">
        <f>(SUMIF($D$2:$D$57,"termico",$S$2:$S$103)+SUMIF($D$2:$D$57,"electrico",$S$2:$S$103)+SUMIF($D$2:$D$57,"térmico",$S$2:$S$103))/1000</f>
        <v>103.00700000000001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-11031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-4262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-11031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-4262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27.631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-11031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-4262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157976</v>
      </c>
      <c r="I105" s="252">
        <f>+SUM(I2:I103)</f>
        <v>30486</v>
      </c>
      <c r="J105" s="252">
        <f>+SUM(J2:J103)</f>
        <v>34400</v>
      </c>
      <c r="K105" s="252">
        <f>SUM(K2:K103)</f>
        <v>222862</v>
      </c>
      <c r="L105" s="253">
        <f>+L103</f>
        <v>-11031</v>
      </c>
      <c r="M105" s="252">
        <f>SUM(M2:M103)</f>
        <v>0</v>
      </c>
      <c r="N105" s="252">
        <f>SUM(N2:N103)</f>
        <v>222862</v>
      </c>
      <c r="O105" s="252"/>
      <c r="P105" s="252">
        <f>SUM(P2:P103)</f>
        <v>0</v>
      </c>
      <c r="Q105" s="252">
        <f>SUM(Q2:Q103)</f>
        <v>0</v>
      </c>
      <c r="R105" s="252">
        <f>SUM(R2:R103)</f>
        <v>-6769</v>
      </c>
      <c r="S105" s="252">
        <f>SUM(S2:S103)</f>
        <v>157976</v>
      </c>
      <c r="T105" s="252">
        <f>+SUM(T2:T103)</f>
        <v>30486</v>
      </c>
      <c r="U105" s="252">
        <f>SUM(U2:U103)</f>
        <v>27631</v>
      </c>
      <c r="V105" s="252">
        <f>SUM(V2:V103)</f>
        <v>216093</v>
      </c>
      <c r="W105" s="254">
        <f>+W103</f>
        <v>-4262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202362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-4970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54" priority="3" operator="lessThan">
      <formula>$AA$78</formula>
    </cfRule>
    <cfRule type="cellIs" dxfId="53" priority="5" operator="greaterThan">
      <formula>$AE$78</formula>
    </cfRule>
  </conditionalFormatting>
  <conditionalFormatting sqref="AA79">
    <cfRule type="cellIs" dxfId="52" priority="4" operator="greaterThan">
      <formula>$AE$79</formula>
    </cfRule>
  </conditionalFormatting>
  <conditionalFormatting sqref="AA80">
    <cfRule type="cellIs" dxfId="51" priority="2" operator="greaterThan">
      <formula>$AE$79</formula>
    </cfRule>
  </conditionalFormatting>
  <conditionalFormatting sqref="AU4:AU23">
    <cfRule type="cellIs" dxfId="5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86"/>
  <sheetViews>
    <sheetView topLeftCell="U49" zoomScale="90" zoomScaleNormal="90" workbookViewId="0">
      <selection activeCell="AD58" sqref="AD58:AD60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208745</v>
      </c>
      <c r="M2" s="29"/>
      <c r="N2" s="798">
        <f>SUM(K2:K26)</f>
        <v>188235</v>
      </c>
      <c r="O2" s="30">
        <f>+K2/$N$2</f>
        <v>1.593752490238266E-2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208745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40" t="s">
        <v>31</v>
      </c>
      <c r="AE2" s="740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207645</v>
      </c>
      <c r="M3" s="29"/>
      <c r="N3" s="799"/>
      <c r="O3" s="30">
        <f t="shared" ref="O3:O29" si="2">+K3/$N$2</f>
        <v>5.8437591308736422E-3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207645</v>
      </c>
      <c r="X3" s="32">
        <f t="shared" ref="X3:X56" si="9">W3-L3</f>
        <v>0</v>
      </c>
      <c r="Y3" s="37" t="s">
        <v>34</v>
      </c>
      <c r="Z3" s="38">
        <f>ROUND((Z13*57%),0)</f>
        <v>281466</v>
      </c>
      <c r="AA3" s="39">
        <f>ROUND((+Z14*0.57),0)</f>
        <v>280685</v>
      </c>
      <c r="AB3" s="454">
        <v>68071</v>
      </c>
      <c r="AC3" s="455">
        <v>151050</v>
      </c>
      <c r="AD3" s="40">
        <v>58297</v>
      </c>
      <c r="AE3" s="736">
        <f>SUM(AB3:AD3)</f>
        <v>277418</v>
      </c>
      <c r="AF3" s="41">
        <f>AA3-AE3</f>
        <v>3267</v>
      </c>
      <c r="AG3" s="42">
        <f>AA3-AB3-AC3-AD3</f>
        <v>3267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1"/>
        <v>196452</v>
      </c>
      <c r="M4" s="29"/>
      <c r="N4" s="799"/>
      <c r="O4" s="30">
        <f t="shared" si="2"/>
        <v>5.9462905410789704E-2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11193</v>
      </c>
      <c r="U4" s="28">
        <f t="shared" si="6"/>
        <v>0</v>
      </c>
      <c r="V4" s="28">
        <f t="shared" si="7"/>
        <v>11193</v>
      </c>
      <c r="W4" s="31">
        <f t="shared" si="8"/>
        <v>196452</v>
      </c>
      <c r="X4" s="32">
        <f t="shared" si="9"/>
        <v>0</v>
      </c>
      <c r="Y4" s="37" t="s">
        <v>38</v>
      </c>
      <c r="Z4" s="38">
        <f>ROUND((Z13*43%),0)</f>
        <v>212334</v>
      </c>
      <c r="AA4" s="39">
        <f>ROUND((+Z14*0.43),0)</f>
        <v>211745</v>
      </c>
      <c r="AB4" s="43">
        <f>T105</f>
        <v>27687</v>
      </c>
      <c r="AC4" s="43">
        <f>S105</f>
        <v>162355</v>
      </c>
      <c r="AD4" s="40">
        <f>U105</f>
        <v>21703</v>
      </c>
      <c r="AE4" s="736">
        <f>SUM(AB4:AD4)</f>
        <v>211745</v>
      </c>
      <c r="AF4" s="41">
        <f>AA4-AE4</f>
        <v>0</v>
      </c>
      <c r="AG4" s="42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195252</v>
      </c>
      <c r="M5" s="29"/>
      <c r="N5" s="799"/>
      <c r="O5" s="30">
        <f t="shared" si="2"/>
        <v>6.3750099609530637E-3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195252</v>
      </c>
      <c r="X5" s="32">
        <f t="shared" si="9"/>
        <v>0</v>
      </c>
      <c r="Y5" s="44" t="s">
        <v>41</v>
      </c>
      <c r="Z5" s="38">
        <f>SUM(Z3:Z4)</f>
        <v>493800</v>
      </c>
      <c r="AA5" s="45">
        <f>SUM(AA3:AA4)</f>
        <v>492430</v>
      </c>
      <c r="AB5" s="46">
        <f>SUM(AB3:AB4)</f>
        <v>95758</v>
      </c>
      <c r="AC5" s="41">
        <f>SUM(AC3:AC4)</f>
        <v>313405</v>
      </c>
      <c r="AD5" s="40">
        <f>SUM(AD3:AD4)</f>
        <v>80000</v>
      </c>
      <c r="AE5" s="41">
        <f>SUM(AB5:AD5)</f>
        <v>489163</v>
      </c>
      <c r="AF5" s="47">
        <f>SUM(AF3:AF4)</f>
        <v>3267</v>
      </c>
      <c r="AG5" s="47">
        <f>SUM(AG3:AG4)</f>
        <v>3267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183252</v>
      </c>
      <c r="M6" s="29"/>
      <c r="N6" s="799"/>
      <c r="O6" s="30">
        <f t="shared" si="2"/>
        <v>6.3750099609530639E-2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183252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f>80000-AD4</f>
        <v>58297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11997+1940</f>
        <v>13937</v>
      </c>
      <c r="I7" s="518">
        <f>800+460+2803</f>
        <v>4063</v>
      </c>
      <c r="J7" s="26"/>
      <c r="K7" s="27">
        <f t="shared" si="0"/>
        <v>18000</v>
      </c>
      <c r="L7" s="28">
        <f t="shared" si="1"/>
        <v>165252</v>
      </c>
      <c r="M7" s="29"/>
      <c r="N7" s="799"/>
      <c r="O7" s="30">
        <f t="shared" si="2"/>
        <v>9.5625149414295965E-2</v>
      </c>
      <c r="P7" s="802"/>
      <c r="Q7" s="31">
        <f t="shared" si="3"/>
        <v>0</v>
      </c>
      <c r="R7" s="31"/>
      <c r="S7" s="28">
        <f t="shared" si="4"/>
        <v>13937</v>
      </c>
      <c r="T7" s="28">
        <f t="shared" si="5"/>
        <v>4063</v>
      </c>
      <c r="U7" s="28">
        <f t="shared" si="6"/>
        <v>0</v>
      </c>
      <c r="V7" s="28">
        <f t="shared" si="7"/>
        <v>18000</v>
      </c>
      <c r="W7" s="31">
        <f t="shared" si="8"/>
        <v>165252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162752</v>
      </c>
      <c r="M8" s="29"/>
      <c r="N8" s="799"/>
      <c r="O8" s="30">
        <f t="shared" si="2"/>
        <v>1.328127075198555E-2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162752</v>
      </c>
      <c r="X8" s="32">
        <f t="shared" si="9"/>
        <v>0</v>
      </c>
      <c r="Y8" s="14" t="s">
        <v>47</v>
      </c>
      <c r="Z8" s="732">
        <f ca="1">TODAY()+1</f>
        <v>41938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381</v>
      </c>
      <c r="I9" s="518">
        <v>1819</v>
      </c>
      <c r="J9" s="26"/>
      <c r="K9" s="27">
        <f t="shared" si="0"/>
        <v>2200</v>
      </c>
      <c r="L9" s="28">
        <f t="shared" si="1"/>
        <v>160552</v>
      </c>
      <c r="M9" s="29"/>
      <c r="N9" s="799"/>
      <c r="O9" s="30">
        <f t="shared" si="2"/>
        <v>1.1687518261747284E-2</v>
      </c>
      <c r="P9" s="802"/>
      <c r="Q9" s="31">
        <f t="shared" si="3"/>
        <v>0</v>
      </c>
      <c r="R9" s="31"/>
      <c r="S9" s="28">
        <f t="shared" si="4"/>
        <v>381</v>
      </c>
      <c r="T9" s="28">
        <f t="shared" si="5"/>
        <v>1819</v>
      </c>
      <c r="U9" s="28">
        <f t="shared" si="6"/>
        <v>0</v>
      </c>
      <c r="V9" s="28">
        <f t="shared" si="7"/>
        <v>2200</v>
      </c>
      <c r="W9" s="31">
        <f t="shared" si="8"/>
        <v>160552</v>
      </c>
      <c r="X9" s="32">
        <f t="shared" si="9"/>
        <v>0</v>
      </c>
      <c r="Y9" s="14" t="s">
        <v>189</v>
      </c>
      <c r="Z9" s="58">
        <v>493800</v>
      </c>
      <c r="AA9" s="59">
        <f>Z9*14.65/14.73</f>
        <v>491118.12627291243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1"/>
        <v>140552</v>
      </c>
      <c r="M10" s="29"/>
      <c r="N10" s="799"/>
      <c r="O10" s="30">
        <f t="shared" si="2"/>
        <v>0.1062501660158844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28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140552</v>
      </c>
      <c r="X10" s="32">
        <f t="shared" si="9"/>
        <v>0</v>
      </c>
      <c r="Y10" s="14" t="s">
        <v>191</v>
      </c>
      <c r="Z10" s="58">
        <f>ROUND((Z9*Z30),0)</f>
        <v>492430</v>
      </c>
      <c r="AA10" s="59">
        <f>Z10*14.65/14.73</f>
        <v>489755.56687033264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122552</v>
      </c>
      <c r="M11" s="29"/>
      <c r="N11" s="799"/>
      <c r="O11" s="30">
        <f t="shared" si="2"/>
        <v>9.5625149414295965E-2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122552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118952</v>
      </c>
      <c r="M12" s="29"/>
      <c r="N12" s="799"/>
      <c r="O12" s="30">
        <f t="shared" si="2"/>
        <v>1.912502988285919E-2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118952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1"/>
        <v>112952</v>
      </c>
      <c r="M13" s="29"/>
      <c r="N13" s="799"/>
      <c r="O13" s="30">
        <f t="shared" si="2"/>
        <v>3.1875049804765319E-2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112952</v>
      </c>
      <c r="X13" s="32">
        <f t="shared" si="9"/>
        <v>0</v>
      </c>
      <c r="Y13" s="14" t="s">
        <v>67</v>
      </c>
      <c r="Z13" s="67">
        <f>Z14/Z30</f>
        <v>493799.75810514344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16358</v>
      </c>
      <c r="I14" s="26">
        <v>0</v>
      </c>
      <c r="J14" s="26"/>
      <c r="K14" s="27">
        <f t="shared" si="0"/>
        <v>16358</v>
      </c>
      <c r="L14" s="28">
        <f t="shared" si="1"/>
        <v>96594</v>
      </c>
      <c r="M14" s="29"/>
      <c r="N14" s="799"/>
      <c r="O14" s="30">
        <f t="shared" si="2"/>
        <v>8.6902010784391845E-2</v>
      </c>
      <c r="P14" s="802"/>
      <c r="Q14" s="31">
        <f t="shared" si="3"/>
        <v>0</v>
      </c>
      <c r="R14" s="31">
        <v>0</v>
      </c>
      <c r="S14" s="28">
        <f t="shared" si="4"/>
        <v>16358</v>
      </c>
      <c r="T14" s="28">
        <f t="shared" si="5"/>
        <v>0</v>
      </c>
      <c r="U14" s="28">
        <f t="shared" si="6"/>
        <v>0</v>
      </c>
      <c r="V14" s="28">
        <f t="shared" si="7"/>
        <v>16358</v>
      </c>
      <c r="W14" s="31">
        <f t="shared" si="8"/>
        <v>96594</v>
      </c>
      <c r="X14" s="32">
        <f t="shared" si="9"/>
        <v>0</v>
      </c>
      <c r="Y14" s="14" t="s">
        <v>70</v>
      </c>
      <c r="Z14" s="67">
        <f>+Z10-(Z11+Z12)</f>
        <v>492430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6184</v>
      </c>
      <c r="I15" s="26"/>
      <c r="J15" s="26"/>
      <c r="K15" s="27">
        <f t="shared" si="0"/>
        <v>6184</v>
      </c>
      <c r="L15" s="28">
        <f t="shared" si="1"/>
        <v>90410</v>
      </c>
      <c r="M15" s="29"/>
      <c r="N15" s="799"/>
      <c r="O15" s="30">
        <f t="shared" si="2"/>
        <v>3.2852551332111457E-2</v>
      </c>
      <c r="P15" s="802"/>
      <c r="Q15" s="31">
        <f t="shared" si="3"/>
        <v>0</v>
      </c>
      <c r="R15" s="31">
        <v>0</v>
      </c>
      <c r="S15" s="28">
        <f t="shared" si="4"/>
        <v>6184</v>
      </c>
      <c r="T15" s="28">
        <f t="shared" si="5"/>
        <v>0</v>
      </c>
      <c r="U15" s="28">
        <f t="shared" si="6"/>
        <v>0</v>
      </c>
      <c r="V15" s="28">
        <f t="shared" si="7"/>
        <v>6184</v>
      </c>
      <c r="W15" s="31">
        <f t="shared" si="8"/>
        <v>90410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5500</v>
      </c>
      <c r="I16" s="26"/>
      <c r="J16" s="26"/>
      <c r="K16" s="27">
        <f t="shared" si="0"/>
        <v>5500</v>
      </c>
      <c r="L16" s="28">
        <f t="shared" si="1"/>
        <v>84910</v>
      </c>
      <c r="M16" s="29"/>
      <c r="N16" s="799"/>
      <c r="O16" s="30">
        <f t="shared" si="2"/>
        <v>2.9218795654368211E-2</v>
      </c>
      <c r="P16" s="802"/>
      <c r="Q16" s="31">
        <v>0</v>
      </c>
      <c r="R16" s="31">
        <v>0</v>
      </c>
      <c r="S16" s="28">
        <f t="shared" si="4"/>
        <v>5500</v>
      </c>
      <c r="T16" s="28">
        <f t="shared" si="5"/>
        <v>0</v>
      </c>
      <c r="U16" s="28">
        <f t="shared" si="6"/>
        <v>0</v>
      </c>
      <c r="V16" s="28">
        <f t="shared" si="7"/>
        <v>5500</v>
      </c>
      <c r="W16" s="31">
        <f t="shared" si="8"/>
        <v>84910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3000</v>
      </c>
      <c r="J17" s="26"/>
      <c r="K17" s="27">
        <f t="shared" si="0"/>
        <v>3000</v>
      </c>
      <c r="L17" s="28">
        <f t="shared" si="1"/>
        <v>81910</v>
      </c>
      <c r="M17" s="29"/>
      <c r="N17" s="799"/>
      <c r="O17" s="30">
        <f t="shared" si="2"/>
        <v>1.593752490238266E-2</v>
      </c>
      <c r="P17" s="802"/>
      <c r="Q17" s="31">
        <f t="shared" si="3"/>
        <v>0</v>
      </c>
      <c r="R17" s="31">
        <v>0</v>
      </c>
      <c r="S17" s="28">
        <f t="shared" si="4"/>
        <v>0</v>
      </c>
      <c r="T17" s="28">
        <f t="shared" si="5"/>
        <v>3000</v>
      </c>
      <c r="U17" s="28">
        <f t="shared" si="6"/>
        <v>0</v>
      </c>
      <c r="V17" s="28">
        <f t="shared" si="7"/>
        <v>3000</v>
      </c>
      <c r="W17" s="31">
        <f t="shared" si="8"/>
        <v>81910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312</v>
      </c>
      <c r="J18" s="26"/>
      <c r="K18" s="27">
        <f t="shared" si="0"/>
        <v>312</v>
      </c>
      <c r="L18" s="28">
        <f t="shared" si="1"/>
        <v>81598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312</v>
      </c>
      <c r="U18" s="28">
        <f t="shared" si="6"/>
        <v>0</v>
      </c>
      <c r="V18" s="28">
        <f t="shared" si="7"/>
        <v>312</v>
      </c>
      <c r="W18" s="31">
        <f t="shared" si="8"/>
        <v>81598</v>
      </c>
      <c r="X18" s="32"/>
      <c r="Y18" s="14" t="s">
        <v>77</v>
      </c>
      <c r="Z18" s="71">
        <f>ROUND(Z14*0.43,0)</f>
        <v>211745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2688</v>
      </c>
      <c r="I19" s="26"/>
      <c r="J19" s="26"/>
      <c r="K19" s="27">
        <f t="shared" si="0"/>
        <v>2688</v>
      </c>
      <c r="L19" s="28">
        <f t="shared" si="1"/>
        <v>78910</v>
      </c>
      <c r="M19" s="29"/>
      <c r="N19" s="799"/>
      <c r="O19" s="30">
        <f t="shared" si="2"/>
        <v>1.4280022312534864E-2</v>
      </c>
      <c r="P19" s="802"/>
      <c r="Q19" s="31">
        <f t="shared" si="3"/>
        <v>0</v>
      </c>
      <c r="R19" s="31">
        <v>0</v>
      </c>
      <c r="S19" s="28">
        <f t="shared" si="4"/>
        <v>2688</v>
      </c>
      <c r="T19" s="28">
        <f t="shared" si="5"/>
        <v>0</v>
      </c>
      <c r="U19" s="28">
        <f t="shared" si="6"/>
        <v>0</v>
      </c>
      <c r="V19" s="28">
        <f t="shared" si="7"/>
        <v>2688</v>
      </c>
      <c r="W19" s="31">
        <f t="shared" si="8"/>
        <v>78910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77410</v>
      </c>
      <c r="M20" s="29"/>
      <c r="N20" s="799"/>
      <c r="O20" s="30">
        <f t="shared" si="2"/>
        <v>7.9687624511913299E-3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77410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77410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77410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69910</v>
      </c>
      <c r="M22" s="29"/>
      <c r="N22" s="799"/>
      <c r="O22" s="30">
        <f t="shared" si="2"/>
        <v>3.9843812255956651E-2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69910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69910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69910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69910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69910</v>
      </c>
      <c r="X24" s="32">
        <f t="shared" si="9"/>
        <v>0</v>
      </c>
      <c r="Y24" s="74" t="s">
        <v>169</v>
      </c>
      <c r="Z24" s="680">
        <f>+Z18+Z19</f>
        <v>211745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57910</v>
      </c>
      <c r="M25" s="29"/>
      <c r="N25" s="799"/>
      <c r="O25" s="30">
        <f t="shared" si="2"/>
        <v>6.3750099609530639E-2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57910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23510</v>
      </c>
      <c r="M26" s="86"/>
      <c r="N26" s="800"/>
      <c r="O26" s="87">
        <f t="shared" si="2"/>
        <v>0.18275028554732117</v>
      </c>
      <c r="P26" s="803"/>
      <c r="Q26" s="144">
        <f t="shared" si="3"/>
        <v>0</v>
      </c>
      <c r="R26" s="144">
        <f>21703-34400</f>
        <v>-12697</v>
      </c>
      <c r="S26" s="423">
        <f t="shared" si="4"/>
        <v>0</v>
      </c>
      <c r="T26" s="423">
        <f t="shared" si="5"/>
        <v>0</v>
      </c>
      <c r="U26" s="423">
        <f t="shared" si="6"/>
        <v>21703</v>
      </c>
      <c r="V26" s="423">
        <f t="shared" si="7"/>
        <v>21703</v>
      </c>
      <c r="W26" s="144">
        <f t="shared" si="8"/>
        <v>36207</v>
      </c>
      <c r="X26" s="32">
        <f t="shared" si="9"/>
        <v>12697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23510</v>
      </c>
      <c r="M27" s="95"/>
      <c r="N27" s="804">
        <f>SUM(K27:K49)</f>
        <v>36207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36207</v>
      </c>
      <c r="X27" s="32">
        <f t="shared" si="9"/>
        <v>12697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23510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36207</v>
      </c>
      <c r="X28" s="32">
        <f t="shared" si="9"/>
        <v>12697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23510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36207</v>
      </c>
      <c r="X29" s="32">
        <f t="shared" si="9"/>
        <v>12697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23510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36207</v>
      </c>
      <c r="X30" s="32">
        <f t="shared" si="9"/>
        <v>12697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23510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36207</v>
      </c>
      <c r="X31" s="32">
        <f t="shared" si="9"/>
        <v>12697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23510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36207</v>
      </c>
      <c r="X32" s="32">
        <f t="shared" si="9"/>
        <v>12697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23510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36207</v>
      </c>
      <c r="X33" s="32">
        <f t="shared" si="9"/>
        <v>12697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23510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36207</v>
      </c>
      <c r="X34" s="32">
        <f t="shared" si="9"/>
        <v>12697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23510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36207</v>
      </c>
      <c r="X35" s="32">
        <f>W35-L35</f>
        <v>12697</v>
      </c>
      <c r="Y35" s="117" t="s">
        <v>56</v>
      </c>
      <c r="Z35" s="113">
        <f>Z34*43%</f>
        <v>34400</v>
      </c>
      <c r="AA35" s="113">
        <f>AD4-Z35</f>
        <v>-12697</v>
      </c>
      <c r="AB35" s="113">
        <f>Z35+AA35</f>
        <v>21703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23510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36207</v>
      </c>
      <c r="X36" s="32">
        <f t="shared" si="9"/>
        <v>12697</v>
      </c>
      <c r="Y36" s="117" t="s">
        <v>60</v>
      </c>
      <c r="Z36" s="113">
        <f>Z34*57%</f>
        <v>45599.999999999993</v>
      </c>
      <c r="AA36" s="113">
        <f>AD3-Z36</f>
        <v>12697.000000000007</v>
      </c>
      <c r="AB36" s="113">
        <f>Z36+AA36</f>
        <v>58297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23510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36207</v>
      </c>
      <c r="X37" s="32">
        <f t="shared" si="9"/>
        <v>12697</v>
      </c>
      <c r="Y37" s="117" t="s">
        <v>94</v>
      </c>
      <c r="Z37" s="113">
        <f>+Z35+Z36</f>
        <v>80000</v>
      </c>
      <c r="AA37" s="113">
        <f>SUM(AA35:AA36)</f>
        <v>0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518"/>
      <c r="J38" s="26"/>
      <c r="K38" s="27">
        <f t="shared" si="0"/>
        <v>11207</v>
      </c>
      <c r="L38" s="28">
        <f>+L37-K38</f>
        <v>12303</v>
      </c>
      <c r="M38" s="29"/>
      <c r="N38" s="799"/>
      <c r="O38" s="30">
        <f t="shared" si="10"/>
        <v>0.30952578230728867</v>
      </c>
      <c r="P38" s="802"/>
      <c r="Q38" s="31">
        <f t="shared" si="11"/>
        <v>0</v>
      </c>
      <c r="R38" s="31"/>
      <c r="S38" s="28">
        <f t="shared" si="4"/>
        <v>11207</v>
      </c>
      <c r="T38" s="28">
        <f t="shared" si="5"/>
        <v>0</v>
      </c>
      <c r="U38" s="28">
        <f t="shared" si="6"/>
        <v>0</v>
      </c>
      <c r="V38" s="28">
        <f t="shared" si="7"/>
        <v>11207</v>
      </c>
      <c r="W38" s="31">
        <f t="shared" si="8"/>
        <v>25000</v>
      </c>
      <c r="X38" s="32">
        <f t="shared" si="9"/>
        <v>12697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12303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25000</v>
      </c>
      <c r="X39" s="32">
        <f t="shared" si="9"/>
        <v>12697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12303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25000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12303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25000</v>
      </c>
      <c r="X41" s="32">
        <f t="shared" si="9"/>
        <v>12697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15000</v>
      </c>
      <c r="I42" s="26"/>
      <c r="J42" s="26"/>
      <c r="K42" s="27">
        <f t="shared" si="0"/>
        <v>15000</v>
      </c>
      <c r="L42" s="28">
        <f t="shared" si="1"/>
        <v>-2697</v>
      </c>
      <c r="M42" s="29"/>
      <c r="N42" s="799"/>
      <c r="O42" s="30">
        <f t="shared" si="10"/>
        <v>0.41428453061562681</v>
      </c>
      <c r="P42" s="802"/>
      <c r="Q42" s="31">
        <f t="shared" si="11"/>
        <v>0</v>
      </c>
      <c r="R42" s="31"/>
      <c r="S42" s="28">
        <f t="shared" si="4"/>
        <v>15000</v>
      </c>
      <c r="T42" s="28">
        <f t="shared" si="5"/>
        <v>0</v>
      </c>
      <c r="U42" s="28">
        <f t="shared" si="6"/>
        <v>0</v>
      </c>
      <c r="V42" s="28">
        <f t="shared" si="7"/>
        <v>15000</v>
      </c>
      <c r="W42" s="31">
        <f t="shared" si="8"/>
        <v>10000</v>
      </c>
      <c r="X42" s="32">
        <f t="shared" si="9"/>
        <v>12697</v>
      </c>
      <c r="Y42" s="74" t="s">
        <v>96</v>
      </c>
      <c r="Z42" s="75">
        <v>35500</v>
      </c>
      <c r="AA42" s="129">
        <f>+H7+H8+H17+H18+H19+H22+H32+H33+H43+H44+H45+H53</f>
        <v>28625</v>
      </c>
      <c r="AB42" s="129">
        <f>+I7+I8+I17+I18+I19+I22+I32+I33+I43+I44+I45+I53</f>
        <v>7375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-2697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10000</v>
      </c>
      <c r="X43" s="32">
        <f t="shared" si="9"/>
        <v>12697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-2697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10000</v>
      </c>
      <c r="X44" s="32">
        <f t="shared" si="9"/>
        <v>12697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-2697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10000</v>
      </c>
      <c r="X45" s="32">
        <f t="shared" si="9"/>
        <v>12697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-12697</v>
      </c>
      <c r="M46" s="29"/>
      <c r="N46" s="799"/>
      <c r="O46" s="30">
        <f t="shared" si="10"/>
        <v>0.27618968707708452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0</v>
      </c>
      <c r="X46" s="32">
        <f t="shared" si="9"/>
        <v>12697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-12697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0</v>
      </c>
      <c r="X47" s="32">
        <f t="shared" si="9"/>
        <v>12697</v>
      </c>
      <c r="Y47" s="57">
        <v>20000</v>
      </c>
      <c r="Z47" s="89">
        <v>4586</v>
      </c>
      <c r="AA47" s="35"/>
      <c r="AB47" s="57">
        <f>57000-AA60</f>
        <v>-1297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-12697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-12697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0</v>
      </c>
      <c r="X49" s="32">
        <f t="shared" si="9"/>
        <v>12697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-12697</v>
      </c>
      <c r="M50" s="95"/>
      <c r="N50" s="804">
        <f>SUM(K50:K55)</f>
        <v>2000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0</v>
      </c>
      <c r="X50" s="32">
        <f t="shared" si="9"/>
        <v>12697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0"/>
        <v>0</v>
      </c>
      <c r="L51" s="28">
        <f t="shared" si="1"/>
        <v>-12697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-12697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518"/>
      <c r="J53" s="26"/>
      <c r="K53" s="27">
        <f t="shared" si="0"/>
        <v>2000</v>
      </c>
      <c r="L53" s="28">
        <f>+L52-K53</f>
        <v>-14697</v>
      </c>
      <c r="M53" s="29"/>
      <c r="N53" s="799"/>
      <c r="O53" s="30">
        <f t="shared" si="10"/>
        <v>5.523793741541691E-2</v>
      </c>
      <c r="P53" s="802"/>
      <c r="Q53" s="97">
        <f t="shared" si="11"/>
        <v>0</v>
      </c>
      <c r="R53" s="31">
        <v>-2000</v>
      </c>
      <c r="S53" s="28">
        <f t="shared" si="4"/>
        <v>0</v>
      </c>
      <c r="T53" s="28">
        <f t="shared" si="5"/>
        <v>0</v>
      </c>
      <c r="U53" s="28">
        <f t="shared" si="6"/>
        <v>0</v>
      </c>
      <c r="V53" s="28">
        <f t="shared" si="7"/>
        <v>0</v>
      </c>
      <c r="W53" s="31">
        <f t="shared" si="8"/>
        <v>0</v>
      </c>
      <c r="X53" s="32">
        <f t="shared" si="9"/>
        <v>14697</v>
      </c>
      <c r="Y53" s="80">
        <f>+Y52-15000</f>
        <v>-2513.5</v>
      </c>
      <c r="Z53" s="49">
        <f>+Z60-43000</f>
        <v>-21297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-14697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0</v>
      </c>
      <c r="X54" s="32">
        <f t="shared" si="9"/>
        <v>14697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-14697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0</v>
      </c>
      <c r="X55" s="119">
        <f t="shared" si="9"/>
        <v>14697</v>
      </c>
      <c r="Y55" s="807">
        <f ca="1">Z8</f>
        <v>41938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-14697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14697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-14697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-14697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27687</v>
      </c>
      <c r="AA58" s="182">
        <f>+AB3</f>
        <v>68071</v>
      </c>
      <c r="AB58" s="182">
        <f>Z12</f>
        <v>0</v>
      </c>
      <c r="AC58" s="181">
        <f>AB10</f>
        <v>0</v>
      </c>
      <c r="AD58" s="661">
        <f>SUM(Z58:AC58)</f>
        <v>95758</v>
      </c>
      <c r="AE58" s="185">
        <v>97040</v>
      </c>
      <c r="AF58" s="17">
        <v>63886</v>
      </c>
      <c r="AG58" s="17"/>
      <c r="AI58" s="50"/>
      <c r="AJ58" s="50"/>
      <c r="AK58" s="722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-14697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162355</v>
      </c>
      <c r="AA59" s="182">
        <f>AC3</f>
        <v>151050</v>
      </c>
      <c r="AB59" s="182">
        <f>Z11</f>
        <v>0</v>
      </c>
      <c r="AC59" s="181">
        <v>0</v>
      </c>
      <c r="AD59" s="661">
        <f>SUM(Z59:AC59)</f>
        <v>313405</v>
      </c>
      <c r="AE59" s="185"/>
      <c r="AF59" s="17">
        <f>AF58-AA58</f>
        <v>-4185</v>
      </c>
      <c r="AG59" s="51"/>
      <c r="AH59" s="19"/>
      <c r="AI59" s="50"/>
      <c r="AJ59" s="50"/>
      <c r="AK59" s="722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-14697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21703</v>
      </c>
      <c r="AA60" s="182">
        <f>+AD3+AH10</f>
        <v>58297</v>
      </c>
      <c r="AB60" s="191">
        <v>0</v>
      </c>
      <c r="AC60" s="181">
        <v>0</v>
      </c>
      <c r="AD60" s="662">
        <f>SUM(Z60:AC60)</f>
        <v>80000</v>
      </c>
      <c r="AE60" s="185"/>
      <c r="AF60" s="17"/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-14697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211745</v>
      </c>
      <c r="AA61" s="194">
        <f>SUM(AA58:AA60)</f>
        <v>277418</v>
      </c>
      <c r="AB61" s="194">
        <f>SUM(AB58:AB60)</f>
        <v>0</v>
      </c>
      <c r="AC61" s="194">
        <f>AB10</f>
        <v>0</v>
      </c>
      <c r="AD61" s="195">
        <f>SUM(AD58:AD60)</f>
        <v>489163</v>
      </c>
      <c r="AE61" s="185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-14697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212335.43988304897</v>
      </c>
      <c r="AA62" s="200">
        <f>(AA58/$Z$28+(AA59/$Z$27)+(AA60/$Z$29))</f>
        <v>278189.4874138186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490524.92729686759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-14697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318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-14697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317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-14697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125841.10676000002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-14697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52014.378240000005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-14697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-14697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492430.241223861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-14697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-14697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-14697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-14697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0</v>
      </c>
      <c r="X72" s="211"/>
      <c r="Y72" s="214" t="s">
        <v>47</v>
      </c>
      <c r="Z72" s="215">
        <f ca="1">Z8</f>
        <v>41938</v>
      </c>
      <c r="AA72" s="818" t="s">
        <v>118</v>
      </c>
      <c r="AB72" s="818"/>
      <c r="AC72" s="818"/>
      <c r="AD72" s="216">
        <v>8.5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-14697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0</v>
      </c>
      <c r="X73" s="211"/>
      <c r="Y73" s="214" t="s">
        <v>119</v>
      </c>
      <c r="Z73" s="480">
        <f>AD72</f>
        <v>8.5</v>
      </c>
      <c r="AA73" s="739" t="s">
        <v>120</v>
      </c>
      <c r="AB73" s="739"/>
      <c r="AC73" s="739"/>
      <c r="AD73" s="219">
        <f>24-AD72</f>
        <v>15.5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-14697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38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-14697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0</v>
      </c>
      <c r="X75" s="211"/>
      <c r="Y75" s="738" t="s">
        <v>121</v>
      </c>
      <c r="Z75" s="738" t="s">
        <v>122</v>
      </c>
      <c r="AA75" s="738" t="s">
        <v>123</v>
      </c>
      <c r="AB75" s="820" t="s">
        <v>124</v>
      </c>
      <c r="AC75" s="821"/>
      <c r="AD75" s="822"/>
      <c r="AE75" s="738" t="s">
        <v>125</v>
      </c>
      <c r="AF75" s="738" t="s">
        <v>126</v>
      </c>
      <c r="AG75" s="149"/>
      <c r="AH75" s="738" t="s">
        <v>121</v>
      </c>
      <c r="AI75" s="738"/>
      <c r="AJ75" s="214" t="s">
        <v>7</v>
      </c>
      <c r="AK75" s="236">
        <f>((+AD78-AA78)/$AD$73)*24</f>
        <v>82097.032258064515</v>
      </c>
      <c r="AL75" s="236">
        <f>AK75</f>
        <v>82097.032258064515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-14697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0</v>
      </c>
      <c r="X76" s="211"/>
      <c r="Y76" s="738"/>
      <c r="Z76" s="738"/>
      <c r="AA76" s="738"/>
      <c r="AB76" s="738"/>
      <c r="AC76" s="738"/>
      <c r="AD76" s="738"/>
      <c r="AE76" s="738"/>
      <c r="AF76" s="738"/>
      <c r="AG76" s="149"/>
      <c r="AH76" s="738"/>
      <c r="AI76" s="738"/>
      <c r="AJ76" s="214" t="s">
        <v>6</v>
      </c>
      <c r="AK76" s="236">
        <f>((+AD79-AA79)/$AD$73)*24</f>
        <v>314333.41935483873</v>
      </c>
      <c r="AL76" s="236">
        <f>+AK76</f>
        <v>314333.41935483873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-14697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0</v>
      </c>
      <c r="X77" s="211"/>
      <c r="Y77" s="738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38"/>
      <c r="AI77" s="78"/>
      <c r="AJ77" s="214" t="s">
        <v>8</v>
      </c>
      <c r="AK77" s="236">
        <f>((+AD80-AA80)/$AD$73)*24</f>
        <v>91822.451612903227</v>
      </c>
      <c r="AL77" s="236">
        <f>AK77</f>
        <v>91822.451612903227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-14697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0</v>
      </c>
      <c r="X78" s="211"/>
      <c r="Y78" s="214" t="s">
        <v>7</v>
      </c>
      <c r="Z78" s="224">
        <v>120795</v>
      </c>
      <c r="AA78" s="225">
        <v>42737</v>
      </c>
      <c r="AB78" s="226">
        <f t="shared" ref="AB78:AC80" si="23">+Z58</f>
        <v>27687</v>
      </c>
      <c r="AC78" s="226">
        <f t="shared" si="23"/>
        <v>68071</v>
      </c>
      <c r="AD78" s="226">
        <f>+AB78+AC78+AB58+AC58</f>
        <v>95758</v>
      </c>
      <c r="AE78" s="519">
        <f>+((AD58/24)*$AD$73)+AA78</f>
        <v>104580.70833333333</v>
      </c>
      <c r="AF78" s="227">
        <f>+AE78-AD78</f>
        <v>8822.7083333333285</v>
      </c>
      <c r="AG78" s="212"/>
      <c r="AH78" s="214" t="s">
        <v>7</v>
      </c>
      <c r="AI78" s="446">
        <f>+AA78</f>
        <v>42737</v>
      </c>
      <c r="AK78" s="231">
        <f>+SUM(AK75:AK77)</f>
        <v>488252.90322580648</v>
      </c>
      <c r="AL78" s="231">
        <f>+SUM(AL75:AL77)</f>
        <v>488252.90322580648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-14697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0</v>
      </c>
      <c r="X79" s="211"/>
      <c r="Y79" s="214" t="s">
        <v>6</v>
      </c>
      <c r="Z79" s="224">
        <v>323488</v>
      </c>
      <c r="AA79" s="225">
        <v>110398</v>
      </c>
      <c r="AB79" s="226">
        <f t="shared" si="23"/>
        <v>162355</v>
      </c>
      <c r="AC79" s="226">
        <f t="shared" si="23"/>
        <v>151050</v>
      </c>
      <c r="AD79" s="226">
        <f>+AB79+AC79+AB59</f>
        <v>313405</v>
      </c>
      <c r="AE79" s="519">
        <f>+((AD59/24)*$AD$73)+AA79</f>
        <v>312805.39583333331</v>
      </c>
      <c r="AF79" s="227">
        <f>+AE79-AD79</f>
        <v>-599.60416666668607</v>
      </c>
      <c r="AG79" s="212"/>
      <c r="AH79" s="214" t="s">
        <v>6</v>
      </c>
      <c r="AI79" s="446">
        <f>+AA79</f>
        <v>110398</v>
      </c>
      <c r="AJ79" s="53"/>
      <c r="AK79" s="481">
        <f>Z10</f>
        <v>492430</v>
      </c>
      <c r="AL79" s="481">
        <f>AK79-AK78</f>
        <v>4177.0967741935165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-14697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0</v>
      </c>
      <c r="X80" s="211"/>
      <c r="Y80" s="214" t="s">
        <v>8</v>
      </c>
      <c r="Z80" s="224">
        <v>48446</v>
      </c>
      <c r="AA80" s="225">
        <v>20698</v>
      </c>
      <c r="AB80" s="226">
        <f t="shared" si="23"/>
        <v>21703</v>
      </c>
      <c r="AC80" s="226">
        <f t="shared" si="23"/>
        <v>58297</v>
      </c>
      <c r="AD80" s="226">
        <f>+AB80+AC80</f>
        <v>80000</v>
      </c>
      <c r="AE80" s="519">
        <f>+((AD60/24)*$AD$73)+AA80</f>
        <v>72364.666666666672</v>
      </c>
      <c r="AF80" s="227">
        <f>+AE80-AD80</f>
        <v>-7635.3333333333285</v>
      </c>
      <c r="AG80" s="149"/>
      <c r="AH80" s="214" t="s">
        <v>8</v>
      </c>
      <c r="AI80" s="447">
        <f>+AA80</f>
        <v>20698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-14697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0</v>
      </c>
      <c r="X81" s="211"/>
      <c r="Y81" s="228" t="s">
        <v>130</v>
      </c>
      <c r="Z81" s="229">
        <f t="shared" ref="Z81:AE81" si="24">SUM(Z78:Z80)</f>
        <v>492729</v>
      </c>
      <c r="AA81" s="230">
        <f t="shared" si="24"/>
        <v>173833</v>
      </c>
      <c r="AB81" s="229">
        <f t="shared" si="24"/>
        <v>211745</v>
      </c>
      <c r="AC81" s="229">
        <f t="shared" si="24"/>
        <v>277418</v>
      </c>
      <c r="AD81" s="229">
        <f t="shared" si="24"/>
        <v>489163</v>
      </c>
      <c r="AE81" s="229">
        <f t="shared" si="24"/>
        <v>489750.77083333331</v>
      </c>
      <c r="AF81" s="227">
        <f>+SUM(AF78:AF80)</f>
        <v>587.77083333331393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-14697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-14697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-14697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-14697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-14697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0</v>
      </c>
      <c r="Y86" s="14" t="s">
        <v>177</v>
      </c>
      <c r="Z86" s="336" t="s">
        <v>178</v>
      </c>
      <c r="AA86" s="337">
        <f>+AA81</f>
        <v>173833</v>
      </c>
      <c r="AB86" s="337">
        <f>AA87-AA86</f>
        <v>98356.729166666686</v>
      </c>
      <c r="AC86" s="42">
        <f>AB86*24/5.5</f>
        <v>429193.00000000006</v>
      </c>
      <c r="AD86" s="338">
        <f>AC86+353111</f>
        <v>782304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-14697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179278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-14697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-14697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-14697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-14697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-14697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0</v>
      </c>
      <c r="Y92" s="882" t="s">
        <v>158</v>
      </c>
      <c r="Z92" s="586" t="s">
        <v>283</v>
      </c>
      <c r="AA92" s="699">
        <f>(SUMIF($D$2:$D$57,"domiciliario",$I$2:$I$103))/1000</f>
        <v>19.375</v>
      </c>
      <c r="AB92" s="700">
        <f>(SUMIF($D$2:$D$57,"domiciliario",$T$2:$T$103))/1000</f>
        <v>19.375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-14697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-14697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0</v>
      </c>
      <c r="Y94" s="883"/>
      <c r="Z94" s="588" t="s">
        <v>80</v>
      </c>
      <c r="AA94" s="701">
        <f>(SUMIF($D$2:$D$57,"gnv",$I$2:$I$103))/1000</f>
        <v>0.312</v>
      </c>
      <c r="AB94" s="702">
        <f>(SUMIF($D$2:$D$57,"gnv",$T$2:$T$103))/1000</f>
        <v>0.312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-14697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8</v>
      </c>
      <c r="AB95" s="702">
        <f>(SUMIF($D$2:$D$57,"termico",$T$2:$T$103)+SUMIF($D$2:$D$57,"electrico",$T$2:$T$103)+SUMIF($D$2:$D$57,"térmico",$T$2:$T$103))/1000</f>
        <v>8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-14697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-14697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0</v>
      </c>
      <c r="Y97" s="825" t="s">
        <v>154</v>
      </c>
      <c r="Z97" s="489" t="s">
        <v>283</v>
      </c>
      <c r="AA97" s="705">
        <f>(SUMIF($D$2:$D$57,"domiciliario",$H$2:$H$103))/1000</f>
        <v>31.818000000000001</v>
      </c>
      <c r="AB97" s="706">
        <f>(SUMIF($D$2:$D$57,"domiciliario",$S$2:$S$103))/1000</f>
        <v>31.818000000000001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-14697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0</v>
      </c>
      <c r="Y98" s="826"/>
      <c r="Z98" s="492" t="s">
        <v>284</v>
      </c>
      <c r="AA98" s="707">
        <f>(SUMIF($D$2:$D$57,"industrial",$H$2:$H$103))/1000</f>
        <v>21.687999999999999</v>
      </c>
      <c r="AB98" s="708">
        <f>(SUMIF($D$2:$D$57,"industrial",$S$2:$S$103))/1000</f>
        <v>19.687999999999999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-14697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-14697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110.849</v>
      </c>
      <c r="AB100" s="708">
        <f>(SUMIF($D$2:$D$57,"termico",$S$2:$S$103)+SUMIF($D$2:$D$57,"electrico",$S$2:$S$103)+SUMIF($D$2:$D$57,"térmico",$S$2:$S$103))/1000</f>
        <v>110.849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-14697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-14697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21.702999999999999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-14697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164355</v>
      </c>
      <c r="I105" s="252">
        <f>+SUM(I2:I103)</f>
        <v>27687</v>
      </c>
      <c r="J105" s="252">
        <f>+SUM(J2:J103)</f>
        <v>34400</v>
      </c>
      <c r="K105" s="252">
        <f>SUM(K2:K103)</f>
        <v>226442</v>
      </c>
      <c r="L105" s="253">
        <f>+L103</f>
        <v>-14697</v>
      </c>
      <c r="M105" s="252">
        <f>SUM(M2:M103)</f>
        <v>0</v>
      </c>
      <c r="N105" s="252">
        <f>SUM(N2:N103)</f>
        <v>226442</v>
      </c>
      <c r="O105" s="252"/>
      <c r="P105" s="252">
        <f>SUM(P2:P103)</f>
        <v>0</v>
      </c>
      <c r="Q105" s="252">
        <f>SUM(Q2:Q103)</f>
        <v>0</v>
      </c>
      <c r="R105" s="252">
        <f>SUM(R2:R103)</f>
        <v>-14697</v>
      </c>
      <c r="S105" s="252">
        <f>SUM(S2:S103)</f>
        <v>162355</v>
      </c>
      <c r="T105" s="252">
        <f>+SUM(T2:T103)</f>
        <v>27687</v>
      </c>
      <c r="U105" s="252">
        <f>SUM(U2:U103)</f>
        <v>21703</v>
      </c>
      <c r="V105" s="252">
        <f>SUM(V2:V103)</f>
        <v>211745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205942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-1390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49" priority="3" operator="lessThan">
      <formula>$AA$78</formula>
    </cfRule>
    <cfRule type="cellIs" dxfId="48" priority="5" operator="greaterThan">
      <formula>$AE$78</formula>
    </cfRule>
  </conditionalFormatting>
  <conditionalFormatting sqref="AA79">
    <cfRule type="cellIs" dxfId="47" priority="4" operator="greaterThan">
      <formula>$AE$79</formula>
    </cfRule>
  </conditionalFormatting>
  <conditionalFormatting sqref="AA80">
    <cfRule type="cellIs" dxfId="46" priority="2" operator="greaterThan">
      <formula>$AE$79</formula>
    </cfRule>
  </conditionalFormatting>
  <conditionalFormatting sqref="AU4:AU23">
    <cfRule type="cellIs" dxfId="4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86"/>
  <sheetViews>
    <sheetView topLeftCell="U40" zoomScale="90" zoomScaleNormal="90" workbookViewId="0">
      <selection activeCell="AD61" sqref="AD61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208745</v>
      </c>
      <c r="M2" s="29"/>
      <c r="N2" s="798">
        <f>SUM(K2:K26)</f>
        <v>188235</v>
      </c>
      <c r="O2" s="30">
        <f>+K2/$N$2</f>
        <v>1.593752490238266E-2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208745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41" t="s">
        <v>31</v>
      </c>
      <c r="AE2" s="741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207645</v>
      </c>
      <c r="M3" s="29"/>
      <c r="N3" s="799"/>
      <c r="O3" s="30">
        <f t="shared" ref="O3:O29" si="2">+K3/$N$2</f>
        <v>5.8437591308736422E-3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207645</v>
      </c>
      <c r="X3" s="32">
        <f t="shared" ref="X3:X56" si="9">W3-L3</f>
        <v>0</v>
      </c>
      <c r="Y3" s="37" t="s">
        <v>34</v>
      </c>
      <c r="Z3" s="38">
        <f>ROUND((Z13*57%),0)</f>
        <v>281466</v>
      </c>
      <c r="AA3" s="39">
        <f>ROUND((+Z14*0.57),0)</f>
        <v>280685</v>
      </c>
      <c r="AB3" s="454">
        <v>61338</v>
      </c>
      <c r="AC3" s="455">
        <v>151050</v>
      </c>
      <c r="AD3" s="40">
        <v>58297</v>
      </c>
      <c r="AE3" s="736">
        <f>SUM(AB3:AD3)</f>
        <v>270685</v>
      </c>
      <c r="AF3" s="41">
        <f>AA3-AE3</f>
        <v>10000</v>
      </c>
      <c r="AG3" s="42">
        <f>AA3-AB3-AC3-AD3</f>
        <v>10000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1"/>
        <v>196452</v>
      </c>
      <c r="M4" s="29"/>
      <c r="N4" s="799"/>
      <c r="O4" s="30">
        <f t="shared" si="2"/>
        <v>5.9462905410789704E-2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11193</v>
      </c>
      <c r="U4" s="28">
        <f t="shared" si="6"/>
        <v>0</v>
      </c>
      <c r="V4" s="28">
        <f t="shared" si="7"/>
        <v>11193</v>
      </c>
      <c r="W4" s="31">
        <f t="shared" si="8"/>
        <v>196452</v>
      </c>
      <c r="X4" s="32">
        <f t="shared" si="9"/>
        <v>0</v>
      </c>
      <c r="Y4" s="37" t="s">
        <v>38</v>
      </c>
      <c r="Z4" s="38">
        <f>ROUND((Z13*43%),0)</f>
        <v>212334</v>
      </c>
      <c r="AA4" s="39">
        <f>ROUND((+Z14*0.43),0)</f>
        <v>211745</v>
      </c>
      <c r="AB4" s="43">
        <f>T105</f>
        <v>27687</v>
      </c>
      <c r="AC4" s="43">
        <f>S105</f>
        <v>162355</v>
      </c>
      <c r="AD4" s="40">
        <f>U105</f>
        <v>21703</v>
      </c>
      <c r="AE4" s="736">
        <f>SUM(AB4:AD4)</f>
        <v>211745</v>
      </c>
      <c r="AF4" s="41">
        <f>AA4-AE4</f>
        <v>0</v>
      </c>
      <c r="AG4" s="42">
        <f>AA4-AB4-AC4-AD4</f>
        <v>0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195252</v>
      </c>
      <c r="M5" s="29"/>
      <c r="N5" s="799"/>
      <c r="O5" s="30">
        <f t="shared" si="2"/>
        <v>6.3750099609530637E-3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195252</v>
      </c>
      <c r="X5" s="32">
        <f t="shared" si="9"/>
        <v>0</v>
      </c>
      <c r="Y5" s="44" t="s">
        <v>41</v>
      </c>
      <c r="Z5" s="38">
        <f>SUM(Z3:Z4)</f>
        <v>493800</v>
      </c>
      <c r="AA5" s="45">
        <f>SUM(AA3:AA4)</f>
        <v>492430</v>
      </c>
      <c r="AB5" s="46">
        <f>SUM(AB3:AB4)</f>
        <v>89025</v>
      </c>
      <c r="AC5" s="41">
        <f>SUM(AC3:AC4)</f>
        <v>313405</v>
      </c>
      <c r="AD5" s="40">
        <f>SUM(AD3:AD4)</f>
        <v>80000</v>
      </c>
      <c r="AE5" s="41">
        <f>SUM(AB5:AD5)</f>
        <v>482430</v>
      </c>
      <c r="AF5" s="47">
        <f>SUM(AF3:AF4)</f>
        <v>10000</v>
      </c>
      <c r="AG5" s="47">
        <f>SUM(AG3:AG4)</f>
        <v>10000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183252</v>
      </c>
      <c r="M6" s="29"/>
      <c r="N6" s="799"/>
      <c r="O6" s="30">
        <f t="shared" si="2"/>
        <v>6.3750099609530639E-2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183252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f>80000-AD4</f>
        <v>58297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11997+1940</f>
        <v>13937</v>
      </c>
      <c r="I7" s="518">
        <f>800+460+2803</f>
        <v>4063</v>
      </c>
      <c r="J7" s="26"/>
      <c r="K7" s="27">
        <f t="shared" si="0"/>
        <v>18000</v>
      </c>
      <c r="L7" s="28">
        <f t="shared" si="1"/>
        <v>165252</v>
      </c>
      <c r="M7" s="29"/>
      <c r="N7" s="799"/>
      <c r="O7" s="30">
        <f t="shared" si="2"/>
        <v>9.5625149414295965E-2</v>
      </c>
      <c r="P7" s="802"/>
      <c r="Q7" s="31">
        <f t="shared" si="3"/>
        <v>0</v>
      </c>
      <c r="R7" s="31"/>
      <c r="S7" s="28">
        <f t="shared" si="4"/>
        <v>13937</v>
      </c>
      <c r="T7" s="28">
        <f t="shared" si="5"/>
        <v>4063</v>
      </c>
      <c r="U7" s="28">
        <f t="shared" si="6"/>
        <v>0</v>
      </c>
      <c r="V7" s="28">
        <f t="shared" si="7"/>
        <v>18000</v>
      </c>
      <c r="W7" s="31">
        <f t="shared" si="8"/>
        <v>165252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162752</v>
      </c>
      <c r="M8" s="29"/>
      <c r="N8" s="799"/>
      <c r="O8" s="30">
        <f t="shared" si="2"/>
        <v>1.328127075198555E-2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162752</v>
      </c>
      <c r="X8" s="32">
        <f t="shared" si="9"/>
        <v>0</v>
      </c>
      <c r="Y8" s="14" t="s">
        <v>47</v>
      </c>
      <c r="Z8" s="732">
        <f ca="1">TODAY()</f>
        <v>41937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381</v>
      </c>
      <c r="I9" s="518">
        <v>1819</v>
      </c>
      <c r="J9" s="26"/>
      <c r="K9" s="27">
        <f t="shared" si="0"/>
        <v>2200</v>
      </c>
      <c r="L9" s="28">
        <f t="shared" si="1"/>
        <v>160552</v>
      </c>
      <c r="M9" s="29"/>
      <c r="N9" s="799"/>
      <c r="O9" s="30">
        <f t="shared" si="2"/>
        <v>1.1687518261747284E-2</v>
      </c>
      <c r="P9" s="802"/>
      <c r="Q9" s="31">
        <f t="shared" si="3"/>
        <v>0</v>
      </c>
      <c r="R9" s="31"/>
      <c r="S9" s="28">
        <f t="shared" si="4"/>
        <v>381</v>
      </c>
      <c r="T9" s="28">
        <f t="shared" si="5"/>
        <v>1819</v>
      </c>
      <c r="U9" s="28">
        <f t="shared" si="6"/>
        <v>0</v>
      </c>
      <c r="V9" s="28">
        <f t="shared" si="7"/>
        <v>2200</v>
      </c>
      <c r="W9" s="31">
        <f t="shared" si="8"/>
        <v>160552</v>
      </c>
      <c r="X9" s="32">
        <f t="shared" si="9"/>
        <v>0</v>
      </c>
      <c r="Y9" s="14" t="s">
        <v>189</v>
      </c>
      <c r="Z9" s="58">
        <v>493800</v>
      </c>
      <c r="AA9" s="59">
        <f>Z9*14.65/14.73</f>
        <v>491118.12627291243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1"/>
        <v>140552</v>
      </c>
      <c r="M10" s="29"/>
      <c r="N10" s="799"/>
      <c r="O10" s="30">
        <f t="shared" si="2"/>
        <v>0.1062501660158844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28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140552</v>
      </c>
      <c r="X10" s="32">
        <f t="shared" si="9"/>
        <v>0</v>
      </c>
      <c r="Y10" s="14" t="s">
        <v>191</v>
      </c>
      <c r="Z10" s="58">
        <f>ROUND((Z9*Z30),0)</f>
        <v>492430</v>
      </c>
      <c r="AA10" s="59">
        <f>Z10*14.65/14.73</f>
        <v>489755.56687033264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122552</v>
      </c>
      <c r="M11" s="29"/>
      <c r="N11" s="799"/>
      <c r="O11" s="30">
        <f t="shared" si="2"/>
        <v>9.5625149414295965E-2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122552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118952</v>
      </c>
      <c r="M12" s="29"/>
      <c r="N12" s="799"/>
      <c r="O12" s="30">
        <f t="shared" si="2"/>
        <v>1.912502988285919E-2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118952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1"/>
        <v>112952</v>
      </c>
      <c r="M13" s="29"/>
      <c r="N13" s="799"/>
      <c r="O13" s="30">
        <f t="shared" si="2"/>
        <v>3.1875049804765319E-2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112952</v>
      </c>
      <c r="X13" s="32">
        <f t="shared" si="9"/>
        <v>0</v>
      </c>
      <c r="Y13" s="14" t="s">
        <v>67</v>
      </c>
      <c r="Z13" s="67">
        <f>Z14/Z30</f>
        <v>493799.75810514344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16358</v>
      </c>
      <c r="I14" s="26">
        <v>0</v>
      </c>
      <c r="J14" s="26"/>
      <c r="K14" s="27">
        <f t="shared" si="0"/>
        <v>16358</v>
      </c>
      <c r="L14" s="28">
        <f t="shared" si="1"/>
        <v>96594</v>
      </c>
      <c r="M14" s="29"/>
      <c r="N14" s="799"/>
      <c r="O14" s="30">
        <f t="shared" si="2"/>
        <v>8.6902010784391845E-2</v>
      </c>
      <c r="P14" s="802"/>
      <c r="Q14" s="31">
        <f t="shared" si="3"/>
        <v>0</v>
      </c>
      <c r="R14" s="31">
        <v>0</v>
      </c>
      <c r="S14" s="28">
        <f t="shared" si="4"/>
        <v>16358</v>
      </c>
      <c r="T14" s="28">
        <f t="shared" si="5"/>
        <v>0</v>
      </c>
      <c r="U14" s="28">
        <f t="shared" si="6"/>
        <v>0</v>
      </c>
      <c r="V14" s="28">
        <f t="shared" si="7"/>
        <v>16358</v>
      </c>
      <c r="W14" s="31">
        <f t="shared" si="8"/>
        <v>96594</v>
      </c>
      <c r="X14" s="32">
        <f t="shared" si="9"/>
        <v>0</v>
      </c>
      <c r="Y14" s="14" t="s">
        <v>70</v>
      </c>
      <c r="Z14" s="67">
        <f>+Z10-(Z11+Z12)</f>
        <v>492430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6184</v>
      </c>
      <c r="I15" s="26"/>
      <c r="J15" s="26"/>
      <c r="K15" s="27">
        <f t="shared" si="0"/>
        <v>6184</v>
      </c>
      <c r="L15" s="28">
        <f t="shared" si="1"/>
        <v>90410</v>
      </c>
      <c r="M15" s="29"/>
      <c r="N15" s="799"/>
      <c r="O15" s="30">
        <f t="shared" si="2"/>
        <v>3.2852551332111457E-2</v>
      </c>
      <c r="P15" s="802"/>
      <c r="Q15" s="31">
        <f t="shared" si="3"/>
        <v>0</v>
      </c>
      <c r="R15" s="31">
        <v>0</v>
      </c>
      <c r="S15" s="28">
        <f t="shared" si="4"/>
        <v>6184</v>
      </c>
      <c r="T15" s="28">
        <f t="shared" si="5"/>
        <v>0</v>
      </c>
      <c r="U15" s="28">
        <f t="shared" si="6"/>
        <v>0</v>
      </c>
      <c r="V15" s="28">
        <f t="shared" si="7"/>
        <v>6184</v>
      </c>
      <c r="W15" s="31">
        <f t="shared" si="8"/>
        <v>90410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5500</v>
      </c>
      <c r="I16" s="26"/>
      <c r="J16" s="26"/>
      <c r="K16" s="27">
        <f t="shared" si="0"/>
        <v>5500</v>
      </c>
      <c r="L16" s="28">
        <f t="shared" si="1"/>
        <v>84910</v>
      </c>
      <c r="M16" s="29"/>
      <c r="N16" s="799"/>
      <c r="O16" s="30">
        <f t="shared" si="2"/>
        <v>2.9218795654368211E-2</v>
      </c>
      <c r="P16" s="802"/>
      <c r="Q16" s="31">
        <v>0</v>
      </c>
      <c r="R16" s="31">
        <v>0</v>
      </c>
      <c r="S16" s="28">
        <f t="shared" si="4"/>
        <v>5500</v>
      </c>
      <c r="T16" s="28">
        <f t="shared" si="5"/>
        <v>0</v>
      </c>
      <c r="U16" s="28">
        <f t="shared" si="6"/>
        <v>0</v>
      </c>
      <c r="V16" s="28">
        <f t="shared" si="7"/>
        <v>5500</v>
      </c>
      <c r="W16" s="31">
        <f t="shared" si="8"/>
        <v>84910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3000</v>
      </c>
      <c r="J17" s="26"/>
      <c r="K17" s="27">
        <f t="shared" si="0"/>
        <v>3000</v>
      </c>
      <c r="L17" s="28">
        <f t="shared" si="1"/>
        <v>81910</v>
      </c>
      <c r="M17" s="29"/>
      <c r="N17" s="799"/>
      <c r="O17" s="30">
        <f t="shared" si="2"/>
        <v>1.593752490238266E-2</v>
      </c>
      <c r="P17" s="802"/>
      <c r="Q17" s="31">
        <f t="shared" si="3"/>
        <v>0</v>
      </c>
      <c r="R17" s="31">
        <v>0</v>
      </c>
      <c r="S17" s="28">
        <f t="shared" si="4"/>
        <v>0</v>
      </c>
      <c r="T17" s="28">
        <f t="shared" si="5"/>
        <v>3000</v>
      </c>
      <c r="U17" s="28">
        <f t="shared" si="6"/>
        <v>0</v>
      </c>
      <c r="V17" s="28">
        <f t="shared" si="7"/>
        <v>3000</v>
      </c>
      <c r="W17" s="31">
        <f t="shared" si="8"/>
        <v>81910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312</v>
      </c>
      <c r="J18" s="26"/>
      <c r="K18" s="27">
        <f t="shared" si="0"/>
        <v>312</v>
      </c>
      <c r="L18" s="28">
        <f t="shared" si="1"/>
        <v>81598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312</v>
      </c>
      <c r="U18" s="28">
        <f t="shared" si="6"/>
        <v>0</v>
      </c>
      <c r="V18" s="28">
        <f t="shared" si="7"/>
        <v>312</v>
      </c>
      <c r="W18" s="31">
        <f t="shared" si="8"/>
        <v>81598</v>
      </c>
      <c r="X18" s="32"/>
      <c r="Y18" s="14" t="s">
        <v>77</v>
      </c>
      <c r="Z18" s="71">
        <f>ROUND(Z14*0.43,0)</f>
        <v>211745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2688</v>
      </c>
      <c r="I19" s="26"/>
      <c r="J19" s="26"/>
      <c r="K19" s="27">
        <f t="shared" si="0"/>
        <v>2688</v>
      </c>
      <c r="L19" s="28">
        <f t="shared" si="1"/>
        <v>78910</v>
      </c>
      <c r="M19" s="29"/>
      <c r="N19" s="799"/>
      <c r="O19" s="30">
        <f t="shared" si="2"/>
        <v>1.4280022312534864E-2</v>
      </c>
      <c r="P19" s="802"/>
      <c r="Q19" s="31">
        <f t="shared" si="3"/>
        <v>0</v>
      </c>
      <c r="R19" s="31">
        <v>0</v>
      </c>
      <c r="S19" s="28">
        <f t="shared" si="4"/>
        <v>2688</v>
      </c>
      <c r="T19" s="28">
        <f t="shared" si="5"/>
        <v>0</v>
      </c>
      <c r="U19" s="28">
        <f t="shared" si="6"/>
        <v>0</v>
      </c>
      <c r="V19" s="28">
        <f t="shared" si="7"/>
        <v>2688</v>
      </c>
      <c r="W19" s="31">
        <f t="shared" si="8"/>
        <v>78910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77410</v>
      </c>
      <c r="M20" s="29"/>
      <c r="N20" s="799"/>
      <c r="O20" s="30">
        <f t="shared" si="2"/>
        <v>7.9687624511913299E-3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77410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77410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77410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69910</v>
      </c>
      <c r="M22" s="29"/>
      <c r="N22" s="799"/>
      <c r="O22" s="30">
        <f t="shared" si="2"/>
        <v>3.9843812255956651E-2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69910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69910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69910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69910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69910</v>
      </c>
      <c r="X24" s="32">
        <f t="shared" si="9"/>
        <v>0</v>
      </c>
      <c r="Y24" s="74" t="s">
        <v>169</v>
      </c>
      <c r="Z24" s="680">
        <f>+Z18+Z19</f>
        <v>211745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57910</v>
      </c>
      <c r="M25" s="29"/>
      <c r="N25" s="799"/>
      <c r="O25" s="30">
        <f t="shared" si="2"/>
        <v>6.3750099609530639E-2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57910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23510</v>
      </c>
      <c r="M26" s="86"/>
      <c r="N26" s="800"/>
      <c r="O26" s="87">
        <f t="shared" si="2"/>
        <v>0.18275028554732117</v>
      </c>
      <c r="P26" s="803"/>
      <c r="Q26" s="144">
        <f t="shared" si="3"/>
        <v>0</v>
      </c>
      <c r="R26" s="144">
        <f>21703-34400</f>
        <v>-12697</v>
      </c>
      <c r="S26" s="423">
        <f t="shared" si="4"/>
        <v>0</v>
      </c>
      <c r="T26" s="423">
        <f t="shared" si="5"/>
        <v>0</v>
      </c>
      <c r="U26" s="423">
        <f t="shared" si="6"/>
        <v>21703</v>
      </c>
      <c r="V26" s="423">
        <f t="shared" si="7"/>
        <v>21703</v>
      </c>
      <c r="W26" s="144">
        <f t="shared" si="8"/>
        <v>36207</v>
      </c>
      <c r="X26" s="32">
        <f t="shared" si="9"/>
        <v>12697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23510</v>
      </c>
      <c r="M27" s="95"/>
      <c r="N27" s="804">
        <f>SUM(K27:K49)</f>
        <v>36207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36207</v>
      </c>
      <c r="X27" s="32">
        <f t="shared" si="9"/>
        <v>12697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23510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36207</v>
      </c>
      <c r="X28" s="32">
        <f t="shared" si="9"/>
        <v>12697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23510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36207</v>
      </c>
      <c r="X29" s="32">
        <f t="shared" si="9"/>
        <v>12697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23510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36207</v>
      </c>
      <c r="X30" s="32">
        <f t="shared" si="9"/>
        <v>12697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23510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36207</v>
      </c>
      <c r="X31" s="32">
        <f t="shared" si="9"/>
        <v>12697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23510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36207</v>
      </c>
      <c r="X32" s="32">
        <f t="shared" si="9"/>
        <v>12697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23510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36207</v>
      </c>
      <c r="X33" s="32">
        <f t="shared" si="9"/>
        <v>12697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23510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36207</v>
      </c>
      <c r="X34" s="32">
        <f t="shared" si="9"/>
        <v>12697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23510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36207</v>
      </c>
      <c r="X35" s="32">
        <f>W35-L35</f>
        <v>12697</v>
      </c>
      <c r="Y35" s="117" t="s">
        <v>56</v>
      </c>
      <c r="Z35" s="113">
        <f>Z34*43%</f>
        <v>34400</v>
      </c>
      <c r="AA35" s="113">
        <f>AD4-Z35</f>
        <v>-12697</v>
      </c>
      <c r="AB35" s="113">
        <f>Z35+AA35</f>
        <v>21703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23510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36207</v>
      </c>
      <c r="X36" s="32">
        <f t="shared" si="9"/>
        <v>12697</v>
      </c>
      <c r="Y36" s="117" t="s">
        <v>60</v>
      </c>
      <c r="Z36" s="113">
        <f>Z34*57%</f>
        <v>45599.999999999993</v>
      </c>
      <c r="AA36" s="113">
        <f>AD3-Z36</f>
        <v>12697.000000000007</v>
      </c>
      <c r="AB36" s="113">
        <f>Z36+AA36</f>
        <v>58297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23510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36207</v>
      </c>
      <c r="X37" s="32">
        <f t="shared" si="9"/>
        <v>12697</v>
      </c>
      <c r="Y37" s="117" t="s">
        <v>94</v>
      </c>
      <c r="Z37" s="113">
        <f>+Z35+Z36</f>
        <v>80000</v>
      </c>
      <c r="AA37" s="113">
        <f>SUM(AA35:AA36)</f>
        <v>0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518"/>
      <c r="J38" s="26"/>
      <c r="K38" s="27">
        <f t="shared" si="0"/>
        <v>11207</v>
      </c>
      <c r="L38" s="28">
        <f>+L37-K38</f>
        <v>12303</v>
      </c>
      <c r="M38" s="29"/>
      <c r="N38" s="799"/>
      <c r="O38" s="30">
        <f t="shared" si="10"/>
        <v>0.30952578230728867</v>
      </c>
      <c r="P38" s="802"/>
      <c r="Q38" s="31">
        <f t="shared" si="11"/>
        <v>0</v>
      </c>
      <c r="R38" s="31"/>
      <c r="S38" s="28">
        <f t="shared" si="4"/>
        <v>11207</v>
      </c>
      <c r="T38" s="28">
        <f t="shared" si="5"/>
        <v>0</v>
      </c>
      <c r="U38" s="28">
        <f t="shared" si="6"/>
        <v>0</v>
      </c>
      <c r="V38" s="28">
        <f t="shared" si="7"/>
        <v>11207</v>
      </c>
      <c r="W38" s="31">
        <f t="shared" si="8"/>
        <v>25000</v>
      </c>
      <c r="X38" s="32">
        <f t="shared" si="9"/>
        <v>12697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12303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25000</v>
      </c>
      <c r="X39" s="32">
        <f t="shared" si="9"/>
        <v>12697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12303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25000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12303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25000</v>
      </c>
      <c r="X41" s="32">
        <f t="shared" si="9"/>
        <v>12697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15000</v>
      </c>
      <c r="I42" s="26"/>
      <c r="J42" s="26"/>
      <c r="K42" s="27">
        <f t="shared" si="0"/>
        <v>15000</v>
      </c>
      <c r="L42" s="28">
        <f t="shared" si="1"/>
        <v>-2697</v>
      </c>
      <c r="M42" s="29"/>
      <c r="N42" s="799"/>
      <c r="O42" s="30">
        <f t="shared" si="10"/>
        <v>0.41428453061562681</v>
      </c>
      <c r="P42" s="802"/>
      <c r="Q42" s="31">
        <f t="shared" si="11"/>
        <v>0</v>
      </c>
      <c r="R42" s="31"/>
      <c r="S42" s="28">
        <f t="shared" si="4"/>
        <v>15000</v>
      </c>
      <c r="T42" s="28">
        <f t="shared" si="5"/>
        <v>0</v>
      </c>
      <c r="U42" s="28">
        <f t="shared" si="6"/>
        <v>0</v>
      </c>
      <c r="V42" s="28">
        <f t="shared" si="7"/>
        <v>15000</v>
      </c>
      <c r="W42" s="31">
        <f t="shared" si="8"/>
        <v>10000</v>
      </c>
      <c r="X42" s="32">
        <f t="shared" si="9"/>
        <v>12697</v>
      </c>
      <c r="Y42" s="74" t="s">
        <v>96</v>
      </c>
      <c r="Z42" s="75">
        <v>35500</v>
      </c>
      <c r="AA42" s="129">
        <f>+H7+H8+H17+H18+H19+H22+H32+H33+H43+H44+H45+H53</f>
        <v>28625</v>
      </c>
      <c r="AB42" s="129">
        <f>+I7+I8+I17+I18+I19+I22+I32+I33+I43+I44+I45+I53</f>
        <v>7375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-2697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10000</v>
      </c>
      <c r="X43" s="32">
        <f t="shared" si="9"/>
        <v>12697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-2697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10000</v>
      </c>
      <c r="X44" s="32">
        <f t="shared" si="9"/>
        <v>12697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-2697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10000</v>
      </c>
      <c r="X45" s="32">
        <f t="shared" si="9"/>
        <v>12697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-12697</v>
      </c>
      <c r="M46" s="29"/>
      <c r="N46" s="799"/>
      <c r="O46" s="30">
        <f t="shared" si="10"/>
        <v>0.27618968707708452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0</v>
      </c>
      <c r="X46" s="32">
        <f t="shared" si="9"/>
        <v>12697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-12697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0</v>
      </c>
      <c r="X47" s="32">
        <f t="shared" si="9"/>
        <v>12697</v>
      </c>
      <c r="Y47" s="57">
        <v>20000</v>
      </c>
      <c r="Z47" s="89">
        <v>4586</v>
      </c>
      <c r="AA47" s="35"/>
      <c r="AB47" s="57">
        <f>57000-AA60</f>
        <v>-1297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-12697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-12697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0</v>
      </c>
      <c r="X49" s="32">
        <f t="shared" si="9"/>
        <v>12697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-12697</v>
      </c>
      <c r="M50" s="95"/>
      <c r="N50" s="804">
        <f>SUM(K50:K55)</f>
        <v>2000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0</v>
      </c>
      <c r="X50" s="32">
        <f t="shared" si="9"/>
        <v>12697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0"/>
        <v>0</v>
      </c>
      <c r="L51" s="28">
        <f t="shared" si="1"/>
        <v>-12697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-12697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518"/>
      <c r="J53" s="26"/>
      <c r="K53" s="27">
        <f t="shared" si="0"/>
        <v>2000</v>
      </c>
      <c r="L53" s="28">
        <f>+L52-K53</f>
        <v>-14697</v>
      </c>
      <c r="M53" s="29"/>
      <c r="N53" s="799"/>
      <c r="O53" s="30">
        <f t="shared" si="10"/>
        <v>5.523793741541691E-2</v>
      </c>
      <c r="P53" s="802"/>
      <c r="Q53" s="97">
        <f t="shared" si="11"/>
        <v>0</v>
      </c>
      <c r="R53" s="31">
        <v>-2000</v>
      </c>
      <c r="S53" s="28">
        <f t="shared" si="4"/>
        <v>0</v>
      </c>
      <c r="T53" s="28">
        <f t="shared" si="5"/>
        <v>0</v>
      </c>
      <c r="U53" s="28">
        <f t="shared" si="6"/>
        <v>0</v>
      </c>
      <c r="V53" s="28">
        <f t="shared" si="7"/>
        <v>0</v>
      </c>
      <c r="W53" s="31">
        <f t="shared" si="8"/>
        <v>0</v>
      </c>
      <c r="X53" s="32">
        <f t="shared" si="9"/>
        <v>14697</v>
      </c>
      <c r="Y53" s="80">
        <f>+Y52-15000</f>
        <v>-2513.5</v>
      </c>
      <c r="Z53" s="49">
        <f>+Z60-43000</f>
        <v>-21297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-14697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0</v>
      </c>
      <c r="X54" s="32">
        <f t="shared" si="9"/>
        <v>14697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-14697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0</v>
      </c>
      <c r="X55" s="119">
        <f t="shared" si="9"/>
        <v>14697</v>
      </c>
      <c r="Y55" s="807">
        <f ca="1">Z8</f>
        <v>41937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-14697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0</v>
      </c>
      <c r="X56" s="119">
        <f t="shared" si="9"/>
        <v>14697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-14697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513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-14697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0</v>
      </c>
      <c r="X58" s="408"/>
      <c r="Y58" s="180" t="s">
        <v>7</v>
      </c>
      <c r="Z58" s="181">
        <f>+AB4</f>
        <v>27687</v>
      </c>
      <c r="AA58" s="182">
        <f>+AB3</f>
        <v>61338</v>
      </c>
      <c r="AB58" s="182">
        <f>Z12</f>
        <v>0</v>
      </c>
      <c r="AC58" s="181">
        <f>AB10</f>
        <v>0</v>
      </c>
      <c r="AD58" s="661">
        <f>SUM(Z58:AC58)</f>
        <v>89025</v>
      </c>
      <c r="AE58" s="185">
        <v>93918</v>
      </c>
      <c r="AF58" s="17">
        <f>AE58-AD58</f>
        <v>4893</v>
      </c>
      <c r="AG58" s="17"/>
      <c r="AI58" s="50"/>
      <c r="AJ58" s="50"/>
      <c r="AK58" s="722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-14697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0</v>
      </c>
      <c r="X59" s="408"/>
      <c r="Y59" s="180" t="s">
        <v>17</v>
      </c>
      <c r="Z59" s="182">
        <f>+AC4</f>
        <v>162355</v>
      </c>
      <c r="AA59" s="182">
        <f>AC3</f>
        <v>151050</v>
      </c>
      <c r="AB59" s="182">
        <f>Z11</f>
        <v>0</v>
      </c>
      <c r="AC59" s="181">
        <v>0</v>
      </c>
      <c r="AD59" s="661">
        <f>SUM(Z59:AC59)</f>
        <v>313405</v>
      </c>
      <c r="AE59" s="185">
        <v>297301</v>
      </c>
      <c r="AF59" s="17">
        <f t="shared" ref="AF59:AF60" si="16">AE59-AD59</f>
        <v>-16104</v>
      </c>
      <c r="AG59" s="51"/>
      <c r="AH59" s="19"/>
      <c r="AI59" s="50"/>
      <c r="AJ59" s="50"/>
      <c r="AK59" s="722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-14697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0</v>
      </c>
      <c r="X60" s="408"/>
      <c r="Y60" s="180" t="s">
        <v>112</v>
      </c>
      <c r="Z60" s="181">
        <f>+AD4+AH11</f>
        <v>21703</v>
      </c>
      <c r="AA60" s="182">
        <f>+AD3+AH10</f>
        <v>58297</v>
      </c>
      <c r="AB60" s="191">
        <v>0</v>
      </c>
      <c r="AC60" s="181">
        <v>0</v>
      </c>
      <c r="AD60" s="662">
        <f>SUM(Z60:AC60)</f>
        <v>80000</v>
      </c>
      <c r="AE60" s="185">
        <v>88212</v>
      </c>
      <c r="AF60" s="17">
        <f t="shared" si="16"/>
        <v>8212</v>
      </c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-14697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0</v>
      </c>
      <c r="X61" s="408"/>
      <c r="Y61" s="193" t="s">
        <v>113</v>
      </c>
      <c r="Z61" s="194">
        <f>SUM(Z58:Z60)</f>
        <v>211745</v>
      </c>
      <c r="AA61" s="194">
        <f>SUM(AA58:AA60)</f>
        <v>270685</v>
      </c>
      <c r="AB61" s="194">
        <f>SUM(AB58:AB60)</f>
        <v>0</v>
      </c>
      <c r="AC61" s="194">
        <f>AB10</f>
        <v>0</v>
      </c>
      <c r="AD61" s="195">
        <f>SUM(AD58:AD60)</f>
        <v>482430</v>
      </c>
      <c r="AE61" s="185"/>
      <c r="AF61" s="17">
        <f>SUM(AF58:AF60)</f>
        <v>-2999</v>
      </c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-14697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0</v>
      </c>
      <c r="X62" s="408"/>
      <c r="Y62" s="199" t="s">
        <v>114</v>
      </c>
      <c r="Z62" s="200">
        <f>(Z58/$Z$28+(Z59/$Z$27)+(Z60/$Z$29))</f>
        <v>212335.43988304897</v>
      </c>
      <c r="AA62" s="200">
        <f>(AA58/$Z$28+(AA59/$Z$27)+(AA60/$Z$29))</f>
        <v>271439.07797286217</v>
      </c>
      <c r="AB62" s="200">
        <f>(AB58/$Z$28)+(AB59/$Z$27)</f>
        <v>0</v>
      </c>
      <c r="AC62" s="200">
        <f>AB9</f>
        <v>0</v>
      </c>
      <c r="AD62" s="201">
        <f>(AD58/$Z$28+(AD59/$Z$27)+(AD60/$Z$29))</f>
        <v>483774.51785591117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-14697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0</v>
      </c>
      <c r="X63" s="408"/>
      <c r="Y63" s="368" t="s">
        <v>318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-14697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0</v>
      </c>
      <c r="X64" s="408"/>
      <c r="Y64" s="368" t="s">
        <v>317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-14697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0</v>
      </c>
      <c r="X65" s="408"/>
      <c r="Y65" s="371" t="s">
        <v>115</v>
      </c>
      <c r="Z65" s="484"/>
      <c r="AA65" s="203">
        <v>125841.10676000002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-14697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0</v>
      </c>
      <c r="X66" s="408"/>
      <c r="Y66" s="814" t="s">
        <v>116</v>
      </c>
      <c r="Z66" s="815"/>
      <c r="AA66" s="203">
        <v>52014.378240000005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7">+L66-K67</f>
        <v>-14697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8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7"/>
        <v>-14697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8"/>
        <v>0</v>
      </c>
      <c r="X68" s="211"/>
      <c r="Y68" s="814" t="s">
        <v>188</v>
      </c>
      <c r="Z68" s="815"/>
      <c r="AA68" s="207">
        <f>Z9*Z30+AC61</f>
        <v>492430.241223861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7"/>
        <v>-14697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8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7"/>
        <v>-14697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9">IF(H70&lt;&gt;0,+H70+Q70+R70,0)</f>
        <v>0</v>
      </c>
      <c r="T70" s="28">
        <f>IF(I70&lt;&gt;0,+I70+Q70+R70,0)</f>
        <v>0</v>
      </c>
      <c r="U70" s="28">
        <f t="shared" ref="U70:U103" si="20">IF(J70&lt;&gt;0,+J70+Q70+R70,0)</f>
        <v>0</v>
      </c>
      <c r="V70" s="28">
        <f t="shared" ref="V70:V103" si="21">+S70+T70+U70</f>
        <v>0</v>
      </c>
      <c r="W70" s="31">
        <f t="shared" si="18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7"/>
        <v>-14697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9"/>
        <v>0</v>
      </c>
      <c r="T71" s="28">
        <f t="shared" ref="T71:T103" si="22">IF(I71&lt;&gt;0,+I71+Q71+R71,0)</f>
        <v>0</v>
      </c>
      <c r="U71" s="28">
        <f t="shared" si="20"/>
        <v>0</v>
      </c>
      <c r="V71" s="28">
        <f t="shared" si="21"/>
        <v>0</v>
      </c>
      <c r="W71" s="31">
        <f t="shared" si="18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7"/>
        <v>-14697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9"/>
        <v>0</v>
      </c>
      <c r="T72" s="28">
        <f t="shared" si="22"/>
        <v>0</v>
      </c>
      <c r="U72" s="28">
        <f t="shared" si="20"/>
        <v>0</v>
      </c>
      <c r="V72" s="28">
        <f t="shared" si="21"/>
        <v>0</v>
      </c>
      <c r="W72" s="31">
        <f t="shared" si="18"/>
        <v>0</v>
      </c>
      <c r="X72" s="211"/>
      <c r="Y72" s="214" t="s">
        <v>47</v>
      </c>
      <c r="Z72" s="215">
        <f ca="1">Z8</f>
        <v>41937</v>
      </c>
      <c r="AA72" s="818" t="s">
        <v>118</v>
      </c>
      <c r="AB72" s="818"/>
      <c r="AC72" s="818"/>
      <c r="AD72" s="216">
        <v>17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7"/>
        <v>-14697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9"/>
        <v>0</v>
      </c>
      <c r="T73" s="28">
        <f t="shared" si="22"/>
        <v>0</v>
      </c>
      <c r="U73" s="28">
        <f t="shared" si="20"/>
        <v>0</v>
      </c>
      <c r="V73" s="28">
        <f t="shared" si="21"/>
        <v>0</v>
      </c>
      <c r="W73" s="31">
        <f t="shared" si="18"/>
        <v>0</v>
      </c>
      <c r="X73" s="211"/>
      <c r="Y73" s="214" t="s">
        <v>119</v>
      </c>
      <c r="Z73" s="480">
        <f>AD72</f>
        <v>17</v>
      </c>
      <c r="AA73" s="742" t="s">
        <v>120</v>
      </c>
      <c r="AB73" s="742"/>
      <c r="AC73" s="742"/>
      <c r="AD73" s="219">
        <f>24-AD72</f>
        <v>7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3">SUM(H74:J74)</f>
        <v>0</v>
      </c>
      <c r="L74" s="28">
        <f t="shared" si="17"/>
        <v>-14697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9"/>
        <v>0</v>
      </c>
      <c r="T74" s="28">
        <f t="shared" si="22"/>
        <v>0</v>
      </c>
      <c r="U74" s="28">
        <f t="shared" si="20"/>
        <v>0</v>
      </c>
      <c r="V74" s="28">
        <f t="shared" si="21"/>
        <v>0</v>
      </c>
      <c r="W74" s="31">
        <f t="shared" si="18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43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3"/>
        <v>0</v>
      </c>
      <c r="L75" s="28">
        <f t="shared" si="17"/>
        <v>-14697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9"/>
        <v>0</v>
      </c>
      <c r="T75" s="28">
        <f t="shared" si="22"/>
        <v>0</v>
      </c>
      <c r="U75" s="28">
        <f t="shared" si="20"/>
        <v>0</v>
      </c>
      <c r="V75" s="28">
        <f t="shared" si="21"/>
        <v>0</v>
      </c>
      <c r="W75" s="31">
        <f t="shared" si="18"/>
        <v>0</v>
      </c>
      <c r="X75" s="211"/>
      <c r="Y75" s="743" t="s">
        <v>121</v>
      </c>
      <c r="Z75" s="743" t="s">
        <v>122</v>
      </c>
      <c r="AA75" s="743" t="s">
        <v>123</v>
      </c>
      <c r="AB75" s="820" t="s">
        <v>124</v>
      </c>
      <c r="AC75" s="821"/>
      <c r="AD75" s="822"/>
      <c r="AE75" s="743" t="s">
        <v>125</v>
      </c>
      <c r="AF75" s="743" t="s">
        <v>126</v>
      </c>
      <c r="AG75" s="149"/>
      <c r="AH75" s="743" t="s">
        <v>121</v>
      </c>
      <c r="AI75" s="743"/>
      <c r="AJ75" s="214" t="s">
        <v>7</v>
      </c>
      <c r="AK75" s="236">
        <f>((+AD78-AA78)/$AD$73)*24</f>
        <v>77571.42857142858</v>
      </c>
      <c r="AL75" s="236">
        <f>AK75</f>
        <v>77571.42857142858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3"/>
        <v>0</v>
      </c>
      <c r="L76" s="28">
        <f t="shared" si="17"/>
        <v>-14697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9"/>
        <v>0</v>
      </c>
      <c r="T76" s="28">
        <f t="shared" si="22"/>
        <v>0</v>
      </c>
      <c r="U76" s="28">
        <f t="shared" si="20"/>
        <v>0</v>
      </c>
      <c r="V76" s="28">
        <f t="shared" si="21"/>
        <v>0</v>
      </c>
      <c r="W76" s="31">
        <f t="shared" si="18"/>
        <v>0</v>
      </c>
      <c r="X76" s="211"/>
      <c r="Y76" s="743"/>
      <c r="Z76" s="743"/>
      <c r="AA76" s="743"/>
      <c r="AB76" s="743"/>
      <c r="AC76" s="743"/>
      <c r="AD76" s="743"/>
      <c r="AE76" s="743"/>
      <c r="AF76" s="743"/>
      <c r="AG76" s="149"/>
      <c r="AH76" s="743"/>
      <c r="AI76" s="743"/>
      <c r="AJ76" s="214" t="s">
        <v>6</v>
      </c>
      <c r="AK76" s="236">
        <f>((+AD79-AA79)/$AD$73)*24</f>
        <v>387102.85714285716</v>
      </c>
      <c r="AL76" s="236">
        <f>+AK76</f>
        <v>387102.85714285716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3"/>
        <v>0</v>
      </c>
      <c r="L77" s="28">
        <f t="shared" si="17"/>
        <v>-14697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9"/>
        <v>0</v>
      </c>
      <c r="T77" s="28">
        <f t="shared" si="22"/>
        <v>0</v>
      </c>
      <c r="U77" s="28">
        <f t="shared" si="20"/>
        <v>0</v>
      </c>
      <c r="V77" s="28">
        <f t="shared" si="21"/>
        <v>0</v>
      </c>
      <c r="W77" s="31">
        <f t="shared" si="18"/>
        <v>0</v>
      </c>
      <c r="X77" s="211"/>
      <c r="Y77" s="743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43"/>
      <c r="AI77" s="78"/>
      <c r="AJ77" s="214" t="s">
        <v>8</v>
      </c>
      <c r="AK77" s="236">
        <f>((+AD80-AA80)/$AD$73)*24</f>
        <v>48000</v>
      </c>
      <c r="AL77" s="236">
        <f>AK77</f>
        <v>48000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3"/>
        <v>0</v>
      </c>
      <c r="L78" s="28">
        <f t="shared" si="17"/>
        <v>-14697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9"/>
        <v>0</v>
      </c>
      <c r="T78" s="28">
        <f t="shared" si="22"/>
        <v>0</v>
      </c>
      <c r="U78" s="28">
        <f t="shared" si="20"/>
        <v>0</v>
      </c>
      <c r="V78" s="28">
        <f t="shared" si="21"/>
        <v>0</v>
      </c>
      <c r="W78" s="31">
        <f t="shared" si="18"/>
        <v>0</v>
      </c>
      <c r="X78" s="211"/>
      <c r="Y78" s="214" t="s">
        <v>7</v>
      </c>
      <c r="Z78" s="224">
        <v>95758</v>
      </c>
      <c r="AA78" s="225">
        <v>66400</v>
      </c>
      <c r="AB78" s="226">
        <f t="shared" ref="AB78:AC80" si="24">+Z58</f>
        <v>27687</v>
      </c>
      <c r="AC78" s="226">
        <f t="shared" si="24"/>
        <v>61338</v>
      </c>
      <c r="AD78" s="226">
        <f>+AB78+AC78+AB58+AC58</f>
        <v>89025</v>
      </c>
      <c r="AE78" s="519">
        <f>+((AD58/24)*$AD$73)+AA78</f>
        <v>92365.625</v>
      </c>
      <c r="AF78" s="227">
        <f>+AE78-AD78</f>
        <v>3340.625</v>
      </c>
      <c r="AG78" s="212"/>
      <c r="AH78" s="214" t="s">
        <v>7</v>
      </c>
      <c r="AI78" s="446">
        <f>+AA78</f>
        <v>66400</v>
      </c>
      <c r="AK78" s="231">
        <f>+SUM(AK75:AK77)</f>
        <v>512674.28571428574</v>
      </c>
      <c r="AL78" s="231">
        <f>+SUM(AL75:AL77)</f>
        <v>512674.28571428574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3"/>
        <v>0</v>
      </c>
      <c r="L79" s="28">
        <f t="shared" si="17"/>
        <v>-14697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9"/>
        <v>0</v>
      </c>
      <c r="T79" s="28">
        <f t="shared" si="22"/>
        <v>0</v>
      </c>
      <c r="U79" s="28">
        <f t="shared" si="20"/>
        <v>0</v>
      </c>
      <c r="V79" s="28">
        <f t="shared" si="21"/>
        <v>0</v>
      </c>
      <c r="W79" s="31">
        <f t="shared" si="18"/>
        <v>0</v>
      </c>
      <c r="X79" s="211"/>
      <c r="Y79" s="214" t="s">
        <v>6</v>
      </c>
      <c r="Z79" s="224">
        <v>313405</v>
      </c>
      <c r="AA79" s="225">
        <v>200500</v>
      </c>
      <c r="AB79" s="226">
        <f t="shared" si="24"/>
        <v>162355</v>
      </c>
      <c r="AC79" s="226">
        <f t="shared" si="24"/>
        <v>151050</v>
      </c>
      <c r="AD79" s="226">
        <f>+AB79+AC79+AB59</f>
        <v>313405</v>
      </c>
      <c r="AE79" s="519">
        <f>+((AD59/24)*$AD$73)+AA79</f>
        <v>291909.79166666663</v>
      </c>
      <c r="AF79" s="227">
        <f>+AE79-AD79</f>
        <v>-21495.208333333372</v>
      </c>
      <c r="AG79" s="212"/>
      <c r="AH79" s="214" t="s">
        <v>6</v>
      </c>
      <c r="AI79" s="446">
        <f>+AA79</f>
        <v>200500</v>
      </c>
      <c r="AJ79" s="53"/>
      <c r="AK79" s="481">
        <f>Z10</f>
        <v>492430</v>
      </c>
      <c r="AL79" s="481">
        <f>AK79-AK78</f>
        <v>-20244.285714285739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3"/>
        <v>0</v>
      </c>
      <c r="L80" s="28">
        <f t="shared" si="17"/>
        <v>-14697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9"/>
        <v>0</v>
      </c>
      <c r="T80" s="28">
        <f t="shared" si="22"/>
        <v>0</v>
      </c>
      <c r="U80" s="28">
        <f t="shared" si="20"/>
        <v>0</v>
      </c>
      <c r="V80" s="28">
        <f t="shared" si="21"/>
        <v>0</v>
      </c>
      <c r="W80" s="31">
        <f t="shared" si="18"/>
        <v>0</v>
      </c>
      <c r="X80" s="211"/>
      <c r="Y80" s="214" t="s">
        <v>8</v>
      </c>
      <c r="Z80" s="224">
        <v>80000</v>
      </c>
      <c r="AA80" s="225">
        <v>66000</v>
      </c>
      <c r="AB80" s="226">
        <f t="shared" si="24"/>
        <v>21703</v>
      </c>
      <c r="AC80" s="226">
        <f t="shared" si="24"/>
        <v>58297</v>
      </c>
      <c r="AD80" s="226">
        <f>+AB80+AC80</f>
        <v>80000</v>
      </c>
      <c r="AE80" s="519">
        <f>+((AD60/24)*$AD$73)+AA80</f>
        <v>89333.333333333343</v>
      </c>
      <c r="AF80" s="227">
        <f>+AE80-AD80</f>
        <v>9333.333333333343</v>
      </c>
      <c r="AG80" s="149"/>
      <c r="AH80" s="214" t="s">
        <v>8</v>
      </c>
      <c r="AI80" s="447">
        <f>+AA80</f>
        <v>66000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3"/>
        <v>0</v>
      </c>
      <c r="L81" s="28">
        <f t="shared" si="17"/>
        <v>-14697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9"/>
        <v>0</v>
      </c>
      <c r="T81" s="28">
        <f t="shared" si="22"/>
        <v>0</v>
      </c>
      <c r="U81" s="28">
        <f t="shared" si="20"/>
        <v>0</v>
      </c>
      <c r="V81" s="28">
        <f t="shared" si="21"/>
        <v>0</v>
      </c>
      <c r="W81" s="31">
        <f t="shared" si="18"/>
        <v>0</v>
      </c>
      <c r="X81" s="211"/>
      <c r="Y81" s="228" t="s">
        <v>130</v>
      </c>
      <c r="Z81" s="229">
        <f t="shared" ref="Z81:AE81" si="25">SUM(Z78:Z80)</f>
        <v>489163</v>
      </c>
      <c r="AA81" s="230">
        <f t="shared" si="25"/>
        <v>332900</v>
      </c>
      <c r="AB81" s="229">
        <f t="shared" si="25"/>
        <v>211745</v>
      </c>
      <c r="AC81" s="229">
        <f t="shared" si="25"/>
        <v>270685</v>
      </c>
      <c r="AD81" s="229">
        <f t="shared" si="25"/>
        <v>482430</v>
      </c>
      <c r="AE81" s="229">
        <f t="shared" si="25"/>
        <v>473608.75</v>
      </c>
      <c r="AF81" s="227">
        <f>+SUM(AF78:AF80)</f>
        <v>-8821.2500000000291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3"/>
        <v>0</v>
      </c>
      <c r="L82" s="28">
        <f t="shared" si="17"/>
        <v>-14697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9"/>
        <v>0</v>
      </c>
      <c r="T82" s="28">
        <f t="shared" si="22"/>
        <v>0</v>
      </c>
      <c r="U82" s="28">
        <f t="shared" si="20"/>
        <v>0</v>
      </c>
      <c r="V82" s="28">
        <f t="shared" si="21"/>
        <v>0</v>
      </c>
      <c r="W82" s="31">
        <f t="shared" si="18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3"/>
        <v>0</v>
      </c>
      <c r="L83" s="28">
        <f t="shared" si="17"/>
        <v>-14697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9"/>
        <v>0</v>
      </c>
      <c r="T83" s="28">
        <f t="shared" si="22"/>
        <v>0</v>
      </c>
      <c r="U83" s="28">
        <f t="shared" si="20"/>
        <v>0</v>
      </c>
      <c r="V83" s="28">
        <f t="shared" si="21"/>
        <v>0</v>
      </c>
      <c r="W83" s="31">
        <f t="shared" si="18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3"/>
        <v>0</v>
      </c>
      <c r="L84" s="28">
        <f t="shared" si="17"/>
        <v>-14697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9"/>
        <v>0</v>
      </c>
      <c r="T84" s="28">
        <f t="shared" si="22"/>
        <v>0</v>
      </c>
      <c r="U84" s="28">
        <f t="shared" si="20"/>
        <v>0</v>
      </c>
      <c r="V84" s="28">
        <f t="shared" si="21"/>
        <v>0</v>
      </c>
      <c r="W84" s="31">
        <f t="shared" si="18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3"/>
        <v>0</v>
      </c>
      <c r="L85" s="28">
        <f t="shared" si="17"/>
        <v>-14697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9"/>
        <v>0</v>
      </c>
      <c r="T85" s="28">
        <f t="shared" si="22"/>
        <v>0</v>
      </c>
      <c r="U85" s="28">
        <f t="shared" si="20"/>
        <v>0</v>
      </c>
      <c r="V85" s="28">
        <f t="shared" si="21"/>
        <v>0</v>
      </c>
      <c r="W85" s="31">
        <f t="shared" si="18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3"/>
        <v>0</v>
      </c>
      <c r="L86" s="28">
        <f t="shared" si="17"/>
        <v>-14697</v>
      </c>
      <c r="M86" s="810"/>
      <c r="N86" s="810"/>
      <c r="O86" s="30" t="e">
        <f t="shared" ref="O86:O93" si="26">+K86/$N$85</f>
        <v>#DIV/0!</v>
      </c>
      <c r="P86" s="171"/>
      <c r="Q86" s="31">
        <f t="shared" ref="Q86:Q103" si="27">IF($P$85=0,0,(-($P$85*O86)+K86)-K86)</f>
        <v>0</v>
      </c>
      <c r="R86" s="31"/>
      <c r="S86" s="28">
        <f t="shared" si="19"/>
        <v>0</v>
      </c>
      <c r="T86" s="28">
        <f t="shared" si="22"/>
        <v>0</v>
      </c>
      <c r="U86" s="28">
        <f t="shared" si="20"/>
        <v>0</v>
      </c>
      <c r="V86" s="28">
        <f t="shared" si="21"/>
        <v>0</v>
      </c>
      <c r="W86" s="31">
        <f t="shared" si="18"/>
        <v>0</v>
      </c>
      <c r="Y86" s="14" t="s">
        <v>177</v>
      </c>
      <c r="Z86" s="336" t="s">
        <v>178</v>
      </c>
      <c r="AA86" s="337">
        <f>+AA81</f>
        <v>332900</v>
      </c>
      <c r="AB86" s="337">
        <f>AA87-AA86</f>
        <v>-60710.270833333314</v>
      </c>
      <c r="AC86" s="42">
        <f>AB86*24/5.5</f>
        <v>-264917.54545454535</v>
      </c>
      <c r="AD86" s="338">
        <f>AC86+353111</f>
        <v>88193.454545454646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3"/>
        <v>0</v>
      </c>
      <c r="L87" s="28">
        <f t="shared" si="17"/>
        <v>-14697</v>
      </c>
      <c r="M87" s="810"/>
      <c r="N87" s="810"/>
      <c r="O87" s="30" t="e">
        <f t="shared" si="26"/>
        <v>#DIV/0!</v>
      </c>
      <c r="P87" s="171"/>
      <c r="Q87" s="31">
        <f t="shared" si="27"/>
        <v>0</v>
      </c>
      <c r="R87" s="31"/>
      <c r="S87" s="28">
        <f t="shared" si="19"/>
        <v>0</v>
      </c>
      <c r="T87" s="28">
        <f t="shared" si="22"/>
        <v>0</v>
      </c>
      <c r="U87" s="28">
        <f t="shared" si="20"/>
        <v>0</v>
      </c>
      <c r="V87" s="28">
        <f t="shared" si="21"/>
        <v>0</v>
      </c>
      <c r="W87" s="31">
        <f t="shared" si="18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20211.000000000025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3"/>
        <v>0</v>
      </c>
      <c r="L88" s="28">
        <f t="shared" si="17"/>
        <v>-14697</v>
      </c>
      <c r="M88" s="810"/>
      <c r="N88" s="810"/>
      <c r="O88" s="30" t="e">
        <f t="shared" si="26"/>
        <v>#DIV/0!</v>
      </c>
      <c r="P88" s="171"/>
      <c r="Q88" s="31">
        <f t="shared" si="27"/>
        <v>0</v>
      </c>
      <c r="R88" s="31"/>
      <c r="S88" s="28">
        <f t="shared" si="19"/>
        <v>0</v>
      </c>
      <c r="T88" s="28">
        <f t="shared" si="22"/>
        <v>0</v>
      </c>
      <c r="U88" s="28">
        <f t="shared" si="20"/>
        <v>0</v>
      </c>
      <c r="V88" s="28">
        <f t="shared" si="21"/>
        <v>0</v>
      </c>
      <c r="W88" s="31">
        <f t="shared" si="18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3"/>
        <v>0</v>
      </c>
      <c r="L89" s="28">
        <f t="shared" si="17"/>
        <v>-14697</v>
      </c>
      <c r="M89" s="810"/>
      <c r="N89" s="810"/>
      <c r="O89" s="30" t="e">
        <f t="shared" si="26"/>
        <v>#DIV/0!</v>
      </c>
      <c r="P89" s="171"/>
      <c r="Q89" s="31">
        <f t="shared" si="27"/>
        <v>0</v>
      </c>
      <c r="R89" s="31"/>
      <c r="S89" s="28">
        <f t="shared" si="19"/>
        <v>0</v>
      </c>
      <c r="T89" s="28">
        <f t="shared" si="22"/>
        <v>0</v>
      </c>
      <c r="U89" s="28">
        <f t="shared" si="20"/>
        <v>0</v>
      </c>
      <c r="V89" s="28">
        <f t="shared" si="21"/>
        <v>0</v>
      </c>
      <c r="W89" s="31">
        <f t="shared" si="18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3"/>
        <v>0</v>
      </c>
      <c r="L90" s="28">
        <f t="shared" si="17"/>
        <v>-14697</v>
      </c>
      <c r="M90" s="810"/>
      <c r="N90" s="810"/>
      <c r="O90" s="30" t="e">
        <f t="shared" si="26"/>
        <v>#DIV/0!</v>
      </c>
      <c r="P90" s="171"/>
      <c r="Q90" s="31">
        <f t="shared" si="27"/>
        <v>0</v>
      </c>
      <c r="R90" s="31"/>
      <c r="S90" s="28">
        <f t="shared" si="19"/>
        <v>0</v>
      </c>
      <c r="T90" s="28">
        <f t="shared" si="22"/>
        <v>0</v>
      </c>
      <c r="U90" s="28">
        <f t="shared" si="20"/>
        <v>0</v>
      </c>
      <c r="V90" s="28">
        <f t="shared" si="21"/>
        <v>0</v>
      </c>
      <c r="W90" s="31">
        <f t="shared" si="18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3"/>
        <v>0</v>
      </c>
      <c r="L91" s="28">
        <f t="shared" si="17"/>
        <v>-14697</v>
      </c>
      <c r="M91" s="810"/>
      <c r="N91" s="810"/>
      <c r="O91" s="30" t="e">
        <f t="shared" si="26"/>
        <v>#DIV/0!</v>
      </c>
      <c r="P91" s="171"/>
      <c r="Q91" s="31">
        <f t="shared" si="27"/>
        <v>0</v>
      </c>
      <c r="R91" s="31"/>
      <c r="S91" s="28">
        <f t="shared" si="19"/>
        <v>0</v>
      </c>
      <c r="T91" s="28">
        <f t="shared" si="22"/>
        <v>0</v>
      </c>
      <c r="U91" s="28">
        <f t="shared" si="20"/>
        <v>0</v>
      </c>
      <c r="V91" s="28">
        <f t="shared" si="21"/>
        <v>0</v>
      </c>
      <c r="W91" s="31">
        <f t="shared" si="18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3"/>
        <v>0</v>
      </c>
      <c r="L92" s="28">
        <f t="shared" si="17"/>
        <v>-14697</v>
      </c>
      <c r="M92" s="810"/>
      <c r="N92" s="810"/>
      <c r="O92" s="30" t="e">
        <f t="shared" si="26"/>
        <v>#DIV/0!</v>
      </c>
      <c r="P92" s="171"/>
      <c r="Q92" s="31">
        <f t="shared" si="27"/>
        <v>0</v>
      </c>
      <c r="R92" s="31"/>
      <c r="S92" s="28">
        <f t="shared" si="19"/>
        <v>0</v>
      </c>
      <c r="T92" s="28">
        <f t="shared" si="22"/>
        <v>0</v>
      </c>
      <c r="U92" s="28">
        <f t="shared" si="20"/>
        <v>0</v>
      </c>
      <c r="V92" s="28">
        <f t="shared" si="21"/>
        <v>0</v>
      </c>
      <c r="W92" s="31">
        <f t="shared" si="18"/>
        <v>0</v>
      </c>
      <c r="Y92" s="882" t="s">
        <v>158</v>
      </c>
      <c r="Z92" s="586" t="s">
        <v>283</v>
      </c>
      <c r="AA92" s="699">
        <f>(SUMIF($D$2:$D$57,"domiciliario",$I$2:$I$103))/1000</f>
        <v>19.375</v>
      </c>
      <c r="AB92" s="700">
        <f>(SUMIF($D$2:$D$57,"domiciliario",$T$2:$T$103))/1000</f>
        <v>19.375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3"/>
        <v>0</v>
      </c>
      <c r="L93" s="28">
        <f t="shared" si="17"/>
        <v>-14697</v>
      </c>
      <c r="M93" s="810"/>
      <c r="N93" s="810"/>
      <c r="O93" s="30" t="e">
        <f t="shared" si="26"/>
        <v>#DIV/0!</v>
      </c>
      <c r="P93" s="179"/>
      <c r="Q93" s="31">
        <f t="shared" si="27"/>
        <v>0</v>
      </c>
      <c r="R93" s="31"/>
      <c r="S93" s="28">
        <f t="shared" si="19"/>
        <v>0</v>
      </c>
      <c r="T93" s="28">
        <f t="shared" si="22"/>
        <v>0</v>
      </c>
      <c r="U93" s="28">
        <f t="shared" si="20"/>
        <v>0</v>
      </c>
      <c r="V93" s="28">
        <f t="shared" si="21"/>
        <v>0</v>
      </c>
      <c r="W93" s="31">
        <f t="shared" si="18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3"/>
        <v>0</v>
      </c>
      <c r="L94" s="28">
        <f t="shared" si="17"/>
        <v>-14697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7"/>
        <v>0</v>
      </c>
      <c r="R94" s="31"/>
      <c r="S94" s="28">
        <f t="shared" si="19"/>
        <v>0</v>
      </c>
      <c r="T94" s="28">
        <f t="shared" si="22"/>
        <v>0</v>
      </c>
      <c r="U94" s="28">
        <f t="shared" si="20"/>
        <v>0</v>
      </c>
      <c r="V94" s="28">
        <f t="shared" si="21"/>
        <v>0</v>
      </c>
      <c r="W94" s="31">
        <f t="shared" si="18"/>
        <v>0</v>
      </c>
      <c r="Y94" s="883"/>
      <c r="Z94" s="588" t="s">
        <v>80</v>
      </c>
      <c r="AA94" s="701">
        <f>(SUMIF($D$2:$D$57,"gnv",$I$2:$I$103))/1000</f>
        <v>0.312</v>
      </c>
      <c r="AB94" s="702">
        <f>(SUMIF($D$2:$D$57,"gnv",$T$2:$T$103))/1000</f>
        <v>0.312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3"/>
        <v>0</v>
      </c>
      <c r="L95" s="28">
        <f t="shared" si="17"/>
        <v>-14697</v>
      </c>
      <c r="M95" s="810"/>
      <c r="N95" s="810"/>
      <c r="O95" s="30">
        <f t="shared" ref="O95:O103" si="28">IF($N$94=0,0,+K95/$N$94)</f>
        <v>0</v>
      </c>
      <c r="P95" s="171"/>
      <c r="Q95" s="31">
        <f t="shared" si="27"/>
        <v>0</v>
      </c>
      <c r="R95" s="31"/>
      <c r="S95" s="28">
        <f t="shared" si="19"/>
        <v>0</v>
      </c>
      <c r="T95" s="28">
        <f t="shared" si="22"/>
        <v>0</v>
      </c>
      <c r="U95" s="28">
        <f t="shared" si="20"/>
        <v>0</v>
      </c>
      <c r="V95" s="28">
        <f t="shared" si="21"/>
        <v>0</v>
      </c>
      <c r="W95" s="31">
        <f t="shared" si="18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8</v>
      </c>
      <c r="AB95" s="702">
        <f>(SUMIF($D$2:$D$57,"termico",$T$2:$T$103)+SUMIF($D$2:$D$57,"electrico",$T$2:$T$103)+SUMIF($D$2:$D$57,"térmico",$T$2:$T$103))/1000</f>
        <v>8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3"/>
        <v>0</v>
      </c>
      <c r="L96" s="28">
        <f t="shared" si="17"/>
        <v>-14697</v>
      </c>
      <c r="M96" s="810"/>
      <c r="N96" s="810"/>
      <c r="O96" s="30">
        <f t="shared" si="28"/>
        <v>0</v>
      </c>
      <c r="P96" s="171"/>
      <c r="Q96" s="31">
        <f t="shared" si="27"/>
        <v>0</v>
      </c>
      <c r="R96" s="31"/>
      <c r="S96" s="28">
        <f t="shared" si="19"/>
        <v>0</v>
      </c>
      <c r="T96" s="28">
        <f t="shared" si="22"/>
        <v>0</v>
      </c>
      <c r="U96" s="28">
        <f t="shared" si="20"/>
        <v>0</v>
      </c>
      <c r="V96" s="28">
        <f t="shared" si="21"/>
        <v>0</v>
      </c>
      <c r="W96" s="31">
        <f t="shared" si="18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3"/>
        <v>0</v>
      </c>
      <c r="L97" s="28">
        <f t="shared" si="17"/>
        <v>-14697</v>
      </c>
      <c r="M97" s="810"/>
      <c r="N97" s="810"/>
      <c r="O97" s="30">
        <f t="shared" si="28"/>
        <v>0</v>
      </c>
      <c r="P97" s="171"/>
      <c r="Q97" s="31">
        <f t="shared" si="27"/>
        <v>0</v>
      </c>
      <c r="R97" s="31"/>
      <c r="S97" s="28">
        <f t="shared" si="19"/>
        <v>0</v>
      </c>
      <c r="T97" s="28">
        <f t="shared" si="22"/>
        <v>0</v>
      </c>
      <c r="U97" s="28">
        <f t="shared" si="20"/>
        <v>0</v>
      </c>
      <c r="V97" s="28">
        <f t="shared" si="21"/>
        <v>0</v>
      </c>
      <c r="W97" s="31">
        <f t="shared" si="18"/>
        <v>0</v>
      </c>
      <c r="Y97" s="825" t="s">
        <v>154</v>
      </c>
      <c r="Z97" s="489" t="s">
        <v>283</v>
      </c>
      <c r="AA97" s="705">
        <f>(SUMIF($D$2:$D$57,"domiciliario",$H$2:$H$103))/1000</f>
        <v>31.818000000000001</v>
      </c>
      <c r="AB97" s="706">
        <f>(SUMIF($D$2:$D$57,"domiciliario",$S$2:$S$103))/1000</f>
        <v>31.818000000000001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3"/>
        <v>0</v>
      </c>
      <c r="L98" s="28">
        <f t="shared" si="17"/>
        <v>-14697</v>
      </c>
      <c r="M98" s="810"/>
      <c r="N98" s="810"/>
      <c r="O98" s="30">
        <f t="shared" si="28"/>
        <v>0</v>
      </c>
      <c r="P98" s="171"/>
      <c r="Q98" s="31">
        <f t="shared" si="27"/>
        <v>0</v>
      </c>
      <c r="R98" s="31"/>
      <c r="S98" s="28">
        <f t="shared" si="19"/>
        <v>0</v>
      </c>
      <c r="T98" s="28">
        <f t="shared" si="22"/>
        <v>0</v>
      </c>
      <c r="U98" s="28">
        <f t="shared" si="20"/>
        <v>0</v>
      </c>
      <c r="V98" s="28">
        <f t="shared" si="21"/>
        <v>0</v>
      </c>
      <c r="W98" s="31">
        <f t="shared" si="18"/>
        <v>0</v>
      </c>
      <c r="Y98" s="826"/>
      <c r="Z98" s="492" t="s">
        <v>284</v>
      </c>
      <c r="AA98" s="707">
        <f>(SUMIF($D$2:$D$57,"industrial",$H$2:$H$103))/1000</f>
        <v>21.687999999999999</v>
      </c>
      <c r="AB98" s="708">
        <f>(SUMIF($D$2:$D$57,"industrial",$S$2:$S$103))/1000</f>
        <v>19.687999999999999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3"/>
        <v>0</v>
      </c>
      <c r="L99" s="28">
        <f t="shared" si="17"/>
        <v>-14697</v>
      </c>
      <c r="M99" s="810"/>
      <c r="N99" s="810"/>
      <c r="O99" s="30">
        <f t="shared" si="28"/>
        <v>0</v>
      </c>
      <c r="P99" s="171"/>
      <c r="Q99" s="31">
        <f t="shared" si="27"/>
        <v>0</v>
      </c>
      <c r="R99" s="31"/>
      <c r="S99" s="28">
        <f t="shared" si="19"/>
        <v>0</v>
      </c>
      <c r="T99" s="28">
        <f t="shared" si="22"/>
        <v>0</v>
      </c>
      <c r="U99" s="28">
        <f t="shared" si="20"/>
        <v>0</v>
      </c>
      <c r="V99" s="28">
        <f t="shared" si="21"/>
        <v>0</v>
      </c>
      <c r="W99" s="31">
        <f t="shared" si="18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3"/>
        <v>0</v>
      </c>
      <c r="L100" s="28">
        <f t="shared" si="17"/>
        <v>-14697</v>
      </c>
      <c r="M100" s="810"/>
      <c r="N100" s="810"/>
      <c r="O100" s="30">
        <f t="shared" si="28"/>
        <v>0</v>
      </c>
      <c r="P100" s="171"/>
      <c r="Q100" s="31">
        <f t="shared" si="27"/>
        <v>0</v>
      </c>
      <c r="R100" s="31"/>
      <c r="S100" s="28">
        <f t="shared" si="19"/>
        <v>0</v>
      </c>
      <c r="T100" s="28">
        <f t="shared" si="22"/>
        <v>0</v>
      </c>
      <c r="U100" s="28">
        <f t="shared" si="20"/>
        <v>0</v>
      </c>
      <c r="V100" s="28">
        <f t="shared" si="21"/>
        <v>0</v>
      </c>
      <c r="W100" s="31">
        <f t="shared" si="18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110.849</v>
      </c>
      <c r="AB100" s="708">
        <f>(SUMIF($D$2:$D$57,"termico",$S$2:$S$103)+SUMIF($D$2:$D$57,"electrico",$S$2:$S$103)+SUMIF($D$2:$D$57,"térmico",$S$2:$S$103))/1000</f>
        <v>110.849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3"/>
        <v>0</v>
      </c>
      <c r="L101" s="28">
        <f t="shared" si="17"/>
        <v>-14697</v>
      </c>
      <c r="M101" s="810"/>
      <c r="N101" s="810"/>
      <c r="O101" s="30">
        <f t="shared" si="28"/>
        <v>0</v>
      </c>
      <c r="P101" s="171"/>
      <c r="Q101" s="31">
        <f t="shared" si="27"/>
        <v>0</v>
      </c>
      <c r="R101" s="31"/>
      <c r="S101" s="28">
        <f t="shared" si="19"/>
        <v>0</v>
      </c>
      <c r="T101" s="28">
        <f t="shared" si="22"/>
        <v>0</v>
      </c>
      <c r="U101" s="28">
        <f t="shared" si="20"/>
        <v>0</v>
      </c>
      <c r="V101" s="28">
        <f t="shared" si="21"/>
        <v>0</v>
      </c>
      <c r="W101" s="31">
        <f t="shared" si="18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3"/>
        <v>0</v>
      </c>
      <c r="L102" s="28">
        <f t="shared" si="17"/>
        <v>-14697</v>
      </c>
      <c r="M102" s="810"/>
      <c r="N102" s="810"/>
      <c r="O102" s="30">
        <f t="shared" si="28"/>
        <v>0</v>
      </c>
      <c r="P102" s="171"/>
      <c r="Q102" s="31">
        <f t="shared" si="27"/>
        <v>0</v>
      </c>
      <c r="R102" s="31"/>
      <c r="S102" s="28">
        <f t="shared" si="19"/>
        <v>0</v>
      </c>
      <c r="T102" s="28">
        <f t="shared" si="22"/>
        <v>0</v>
      </c>
      <c r="U102" s="28">
        <f t="shared" si="20"/>
        <v>0</v>
      </c>
      <c r="V102" s="28">
        <f t="shared" si="21"/>
        <v>0</v>
      </c>
      <c r="W102" s="31">
        <f t="shared" si="18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21.702999999999999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3"/>
        <v>0</v>
      </c>
      <c r="L103" s="28">
        <f t="shared" si="17"/>
        <v>-14697</v>
      </c>
      <c r="M103" s="810"/>
      <c r="N103" s="810"/>
      <c r="O103" s="30">
        <f t="shared" si="28"/>
        <v>0</v>
      </c>
      <c r="P103" s="179"/>
      <c r="Q103" s="31">
        <f t="shared" si="27"/>
        <v>0</v>
      </c>
      <c r="R103" s="31"/>
      <c r="S103" s="28">
        <f t="shared" si="19"/>
        <v>0</v>
      </c>
      <c r="T103" s="28">
        <f t="shared" si="22"/>
        <v>0</v>
      </c>
      <c r="U103" s="28">
        <f t="shared" si="20"/>
        <v>0</v>
      </c>
      <c r="V103" s="28">
        <f t="shared" si="21"/>
        <v>0</v>
      </c>
      <c r="W103" s="31">
        <f t="shared" si="18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164355</v>
      </c>
      <c r="I105" s="252">
        <f>+SUM(I2:I103)</f>
        <v>27687</v>
      </c>
      <c r="J105" s="252">
        <f>+SUM(J2:J103)</f>
        <v>34400</v>
      </c>
      <c r="K105" s="252">
        <f>SUM(K2:K103)</f>
        <v>226442</v>
      </c>
      <c r="L105" s="253">
        <f>+L103</f>
        <v>-14697</v>
      </c>
      <c r="M105" s="252">
        <f>SUM(M2:M103)</f>
        <v>0</v>
      </c>
      <c r="N105" s="252">
        <f>SUM(N2:N103)</f>
        <v>226442</v>
      </c>
      <c r="O105" s="252"/>
      <c r="P105" s="252">
        <f>SUM(P2:P103)</f>
        <v>0</v>
      </c>
      <c r="Q105" s="252">
        <f>SUM(Q2:Q103)</f>
        <v>0</v>
      </c>
      <c r="R105" s="252">
        <f>SUM(R2:R103)</f>
        <v>-14697</v>
      </c>
      <c r="S105" s="252">
        <f>SUM(S2:S103)</f>
        <v>162355</v>
      </c>
      <c r="T105" s="252">
        <f>+SUM(T2:T103)</f>
        <v>27687</v>
      </c>
      <c r="U105" s="252">
        <f>SUM(U2:U103)</f>
        <v>21703</v>
      </c>
      <c r="V105" s="252">
        <f>SUM(V2:V103)</f>
        <v>211745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/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205942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-1390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</mergeCells>
  <conditionalFormatting sqref="AA78">
    <cfRule type="cellIs" dxfId="44" priority="3" operator="lessThan">
      <formula>$AA$78</formula>
    </cfRule>
    <cfRule type="cellIs" dxfId="43" priority="5" operator="greaterThan">
      <formula>$AE$78</formula>
    </cfRule>
  </conditionalFormatting>
  <conditionalFormatting sqref="AA79">
    <cfRule type="cellIs" dxfId="42" priority="4" operator="greaterThan">
      <formula>$AE$79</formula>
    </cfRule>
  </conditionalFormatting>
  <conditionalFormatting sqref="AA80">
    <cfRule type="cellIs" dxfId="41" priority="2" operator="greaterThan">
      <formula>$AE$79</formula>
    </cfRule>
  </conditionalFormatting>
  <conditionalFormatting sqref="AU4:AU23">
    <cfRule type="cellIs" dxfId="4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86"/>
  <sheetViews>
    <sheetView topLeftCell="X40" zoomScale="90" zoomScaleNormal="90" workbookViewId="0">
      <selection activeCell="AD62" sqref="AD62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210846</v>
      </c>
      <c r="M2" s="29"/>
      <c r="N2" s="798">
        <f>SUM(K2:K26)</f>
        <v>165693</v>
      </c>
      <c r="O2" s="30">
        <f>+K2/$N$2</f>
        <v>1.8105773931306694E-2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210846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41" t="s">
        <v>31</v>
      </c>
      <c r="AE2" s="741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209746</v>
      </c>
      <c r="M3" s="29"/>
      <c r="N3" s="799"/>
      <c r="O3" s="30">
        <f t="shared" ref="O3:O29" si="2">+K3/$N$2</f>
        <v>6.6387837748124543E-3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66" si="8">+W2-V3</f>
        <v>209746</v>
      </c>
      <c r="X3" s="32">
        <f t="shared" ref="X3:X56" si="9">W3-L3</f>
        <v>0</v>
      </c>
      <c r="Y3" s="37" t="s">
        <v>34</v>
      </c>
      <c r="Z3" s="38">
        <f>ROUND((Z13*57%),0)</f>
        <v>284259</v>
      </c>
      <c r="AA3" s="39">
        <f>ROUND((+Z14*0.57),0)</f>
        <v>283471</v>
      </c>
      <c r="AB3" s="454">
        <v>71893</v>
      </c>
      <c r="AC3" s="455">
        <v>140804</v>
      </c>
      <c r="AD3" s="40">
        <v>45600</v>
      </c>
      <c r="AE3" s="736">
        <f>SUM(AB3:AD3)</f>
        <v>258297</v>
      </c>
      <c r="AF3" s="41">
        <f>AA3-AE3</f>
        <v>25174</v>
      </c>
      <c r="AG3" s="42">
        <f>AA3-AB3-AC3-AD3</f>
        <v>25174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1"/>
        <v>198553</v>
      </c>
      <c r="M4" s="29"/>
      <c r="N4" s="799"/>
      <c r="O4" s="30">
        <f t="shared" si="2"/>
        <v>6.7552642537705279E-2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11193</v>
      </c>
      <c r="U4" s="28">
        <f t="shared" si="6"/>
        <v>0</v>
      </c>
      <c r="V4" s="28">
        <f t="shared" si="7"/>
        <v>11193</v>
      </c>
      <c r="W4" s="31">
        <f t="shared" si="8"/>
        <v>198553</v>
      </c>
      <c r="X4" s="32">
        <f t="shared" si="9"/>
        <v>0</v>
      </c>
      <c r="Y4" s="37" t="s">
        <v>38</v>
      </c>
      <c r="Z4" s="38">
        <f>ROUND((Z13*43%),0)</f>
        <v>214441</v>
      </c>
      <c r="AA4" s="39">
        <f>ROUND((+Z14*0.43),0)</f>
        <v>213846</v>
      </c>
      <c r="AB4" s="43">
        <f>T105</f>
        <v>29719</v>
      </c>
      <c r="AC4" s="43">
        <f>S105</f>
        <v>141781</v>
      </c>
      <c r="AD4" s="40">
        <f>U105</f>
        <v>34400</v>
      </c>
      <c r="AE4" s="736">
        <f>SUM(AB4:AD4)</f>
        <v>205900</v>
      </c>
      <c r="AF4" s="41">
        <f>AA4-AE4</f>
        <v>7946</v>
      </c>
      <c r="AG4" s="42">
        <f>AA4-AB4-AC4-AD4</f>
        <v>7946</v>
      </c>
      <c r="AH4" s="103"/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197353</v>
      </c>
      <c r="M5" s="29"/>
      <c r="N5" s="799"/>
      <c r="O5" s="30">
        <f t="shared" si="2"/>
        <v>7.2423095725226774E-3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197353</v>
      </c>
      <c r="X5" s="32">
        <f t="shared" si="9"/>
        <v>0</v>
      </c>
      <c r="Y5" s="44" t="s">
        <v>41</v>
      </c>
      <c r="Z5" s="38">
        <f>SUM(Z3:Z4)</f>
        <v>498700</v>
      </c>
      <c r="AA5" s="45">
        <f>SUM(AA3:AA4)</f>
        <v>497317</v>
      </c>
      <c r="AB5" s="46">
        <f>SUM(AB3:AB4)</f>
        <v>101612</v>
      </c>
      <c r="AC5" s="41">
        <f>SUM(AC3:AC4)</f>
        <v>282585</v>
      </c>
      <c r="AD5" s="40">
        <f>SUM(AD3:AD4)</f>
        <v>80000</v>
      </c>
      <c r="AE5" s="41">
        <f>SUM(AB5:AD5)</f>
        <v>464197</v>
      </c>
      <c r="AF5" s="47">
        <f>SUM(AF3:AF4)</f>
        <v>33120</v>
      </c>
      <c r="AG5" s="47">
        <f>SUM(AG3:AG4)</f>
        <v>33120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185353</v>
      </c>
      <c r="M6" s="29"/>
      <c r="N6" s="799"/>
      <c r="O6" s="30">
        <f t="shared" si="2"/>
        <v>7.2423095725226774E-2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185353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f>80000-AD4</f>
        <v>45600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1940+11997</f>
        <v>13937</v>
      </c>
      <c r="I7" s="518">
        <f>800+460+2803</f>
        <v>4063</v>
      </c>
      <c r="J7" s="26"/>
      <c r="K7" s="27">
        <f t="shared" si="0"/>
        <v>18000</v>
      </c>
      <c r="L7" s="28">
        <f t="shared" si="1"/>
        <v>167353</v>
      </c>
      <c r="M7" s="29"/>
      <c r="N7" s="799"/>
      <c r="O7" s="30">
        <f t="shared" si="2"/>
        <v>0.10863464358784017</v>
      </c>
      <c r="P7" s="802"/>
      <c r="Q7" s="31">
        <f t="shared" si="3"/>
        <v>0</v>
      </c>
      <c r="R7" s="31"/>
      <c r="S7" s="28">
        <f t="shared" si="4"/>
        <v>13937</v>
      </c>
      <c r="T7" s="28">
        <f t="shared" si="5"/>
        <v>4063</v>
      </c>
      <c r="U7" s="28">
        <f t="shared" si="6"/>
        <v>0</v>
      </c>
      <c r="V7" s="28">
        <f t="shared" si="7"/>
        <v>18000</v>
      </c>
      <c r="W7" s="31">
        <f t="shared" si="8"/>
        <v>167353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164853</v>
      </c>
      <c r="M8" s="29"/>
      <c r="N8" s="799"/>
      <c r="O8" s="30">
        <f t="shared" si="2"/>
        <v>1.5088144942755578E-2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164853</v>
      </c>
      <c r="X8" s="32">
        <f t="shared" si="9"/>
        <v>0</v>
      </c>
      <c r="Y8" s="14" t="s">
        <v>47</v>
      </c>
      <c r="Z8" s="732">
        <f ca="1">TODAY()+1</f>
        <v>41938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361</v>
      </c>
      <c r="I9" s="518">
        <v>1839</v>
      </c>
      <c r="J9" s="26"/>
      <c r="K9" s="27">
        <f t="shared" si="0"/>
        <v>2200</v>
      </c>
      <c r="L9" s="28">
        <f t="shared" si="1"/>
        <v>162653</v>
      </c>
      <c r="M9" s="29"/>
      <c r="N9" s="799"/>
      <c r="O9" s="30">
        <f t="shared" si="2"/>
        <v>1.3277567549624909E-2</v>
      </c>
      <c r="P9" s="802"/>
      <c r="Q9" s="31">
        <f t="shared" si="3"/>
        <v>0</v>
      </c>
      <c r="R9" s="31"/>
      <c r="S9" s="28">
        <f t="shared" si="4"/>
        <v>361</v>
      </c>
      <c r="T9" s="28">
        <f t="shared" si="5"/>
        <v>1839</v>
      </c>
      <c r="U9" s="28">
        <f t="shared" si="6"/>
        <v>0</v>
      </c>
      <c r="V9" s="28">
        <f t="shared" si="7"/>
        <v>2200</v>
      </c>
      <c r="W9" s="31">
        <f t="shared" si="8"/>
        <v>162653</v>
      </c>
      <c r="X9" s="32">
        <f t="shared" si="9"/>
        <v>0</v>
      </c>
      <c r="Y9" s="14" t="s">
        <v>189</v>
      </c>
      <c r="Z9" s="58">
        <v>498700</v>
      </c>
      <c r="AA9" s="59">
        <f>Z9*14.65/14.73</f>
        <v>495991.51391717582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1"/>
        <v>142653</v>
      </c>
      <c r="M10" s="29"/>
      <c r="N10" s="799"/>
      <c r="O10" s="30">
        <f t="shared" si="2"/>
        <v>0.12070515954204462</v>
      </c>
      <c r="P10" s="802"/>
      <c r="Q10" s="31">
        <f t="shared" si="3"/>
        <v>0</v>
      </c>
      <c r="R10" s="31">
        <v>0</v>
      </c>
      <c r="S10" s="28">
        <f t="shared" si="4"/>
        <v>15000</v>
      </c>
      <c r="T10" s="28">
        <f t="shared" si="5"/>
        <v>5000</v>
      </c>
      <c r="U10" s="28">
        <f t="shared" si="6"/>
        <v>0</v>
      </c>
      <c r="V10" s="28">
        <f t="shared" si="7"/>
        <v>20000</v>
      </c>
      <c r="W10" s="31">
        <f t="shared" si="8"/>
        <v>142653</v>
      </c>
      <c r="X10" s="32">
        <f t="shared" si="9"/>
        <v>0</v>
      </c>
      <c r="Y10" s="14" t="s">
        <v>191</v>
      </c>
      <c r="Z10" s="58">
        <f>ROUND((Z9*Z30),0)</f>
        <v>497317</v>
      </c>
      <c r="AA10" s="59">
        <f>Z10*14.65/14.73</f>
        <v>494616.02511880512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124653</v>
      </c>
      <c r="M11" s="29"/>
      <c r="N11" s="799"/>
      <c r="O11" s="30">
        <f t="shared" si="2"/>
        <v>0.10863464358784017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124653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121053</v>
      </c>
      <c r="M12" s="29"/>
      <c r="N12" s="799"/>
      <c r="O12" s="30">
        <f t="shared" si="2"/>
        <v>2.1726928717568032E-2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121053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1"/>
        <v>115053</v>
      </c>
      <c r="M13" s="29"/>
      <c r="N13" s="799"/>
      <c r="O13" s="30">
        <f t="shared" si="2"/>
        <v>3.6211547862613387E-2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115053</v>
      </c>
      <c r="X13" s="32">
        <f t="shared" si="9"/>
        <v>0</v>
      </c>
      <c r="Y13" s="14" t="s">
        <v>67</v>
      </c>
      <c r="Z13" s="67">
        <f>Z14/Z30</f>
        <v>498700.35193139256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/>
      <c r="I14" s="26">
        <v>0</v>
      </c>
      <c r="J14" s="26"/>
      <c r="K14" s="27">
        <f t="shared" si="0"/>
        <v>0</v>
      </c>
      <c r="L14" s="28">
        <f t="shared" si="1"/>
        <v>115053</v>
      </c>
      <c r="M14" s="29"/>
      <c r="N14" s="799"/>
      <c r="O14" s="30">
        <f t="shared" si="2"/>
        <v>0</v>
      </c>
      <c r="P14" s="802"/>
      <c r="Q14" s="31">
        <f t="shared" si="3"/>
        <v>0</v>
      </c>
      <c r="R14" s="31">
        <v>0</v>
      </c>
      <c r="S14" s="28">
        <f t="shared" si="4"/>
        <v>0</v>
      </c>
      <c r="T14" s="28">
        <f t="shared" si="5"/>
        <v>0</v>
      </c>
      <c r="U14" s="28">
        <f t="shared" si="6"/>
        <v>0</v>
      </c>
      <c r="V14" s="28">
        <f t="shared" si="7"/>
        <v>0</v>
      </c>
      <c r="W14" s="31">
        <f t="shared" si="8"/>
        <v>115053</v>
      </c>
      <c r="X14" s="32">
        <f t="shared" si="9"/>
        <v>0</v>
      </c>
      <c r="Y14" s="14" t="s">
        <v>70</v>
      </c>
      <c r="Z14" s="67">
        <f>+Z10-(Z11+Z12)</f>
        <v>497317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/>
      <c r="I15" s="26"/>
      <c r="J15" s="26"/>
      <c r="K15" s="27">
        <f t="shared" si="0"/>
        <v>0</v>
      </c>
      <c r="L15" s="28">
        <f t="shared" si="1"/>
        <v>115053</v>
      </c>
      <c r="M15" s="29"/>
      <c r="N15" s="799"/>
      <c r="O15" s="30">
        <f t="shared" si="2"/>
        <v>0</v>
      </c>
      <c r="P15" s="802"/>
      <c r="Q15" s="31">
        <f t="shared" si="3"/>
        <v>0</v>
      </c>
      <c r="R15" s="31">
        <v>0</v>
      </c>
      <c r="S15" s="28">
        <f t="shared" si="4"/>
        <v>0</v>
      </c>
      <c r="T15" s="28">
        <f t="shared" si="5"/>
        <v>0</v>
      </c>
      <c r="U15" s="28">
        <f t="shared" si="6"/>
        <v>0</v>
      </c>
      <c r="V15" s="28">
        <f t="shared" si="7"/>
        <v>0</v>
      </c>
      <c r="W15" s="31">
        <f t="shared" si="8"/>
        <v>115053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5500</v>
      </c>
      <c r="I16" s="26"/>
      <c r="J16" s="26"/>
      <c r="K16" s="27">
        <f t="shared" si="0"/>
        <v>5500</v>
      </c>
      <c r="L16" s="28">
        <f t="shared" si="1"/>
        <v>109553</v>
      </c>
      <c r="M16" s="29"/>
      <c r="N16" s="799"/>
      <c r="O16" s="30">
        <f t="shared" si="2"/>
        <v>3.319391887406227E-2</v>
      </c>
      <c r="P16" s="802"/>
      <c r="Q16" s="31">
        <v>0</v>
      </c>
      <c r="R16" s="31">
        <v>0</v>
      </c>
      <c r="S16" s="28">
        <f t="shared" si="4"/>
        <v>5500</v>
      </c>
      <c r="T16" s="28">
        <f t="shared" si="5"/>
        <v>0</v>
      </c>
      <c r="U16" s="28">
        <f t="shared" si="6"/>
        <v>0</v>
      </c>
      <c r="V16" s="28">
        <f t="shared" si="7"/>
        <v>5500</v>
      </c>
      <c r="W16" s="31">
        <f t="shared" si="8"/>
        <v>109553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5000</v>
      </c>
      <c r="J17" s="26"/>
      <c r="K17" s="27">
        <f t="shared" si="0"/>
        <v>5000</v>
      </c>
      <c r="L17" s="28">
        <f t="shared" si="1"/>
        <v>104553</v>
      </c>
      <c r="M17" s="29"/>
      <c r="N17" s="799"/>
      <c r="O17" s="30">
        <f t="shared" si="2"/>
        <v>3.0176289885511156E-2</v>
      </c>
      <c r="P17" s="802"/>
      <c r="Q17" s="31">
        <f t="shared" si="3"/>
        <v>0</v>
      </c>
      <c r="R17" s="31">
        <v>0</v>
      </c>
      <c r="S17" s="28">
        <f t="shared" si="4"/>
        <v>0</v>
      </c>
      <c r="T17" s="28">
        <f t="shared" si="5"/>
        <v>5000</v>
      </c>
      <c r="U17" s="28">
        <f t="shared" si="6"/>
        <v>0</v>
      </c>
      <c r="V17" s="28">
        <f t="shared" si="7"/>
        <v>5000</v>
      </c>
      <c r="W17" s="31">
        <f t="shared" si="8"/>
        <v>104553</v>
      </c>
      <c r="X17" s="32">
        <f t="shared" si="9"/>
        <v>0</v>
      </c>
      <c r="AA17" s="35"/>
      <c r="AB17" s="790">
        <f>+Z61-Z24-((Z12+Z11)*0.43)</f>
        <v>-7946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324</v>
      </c>
      <c r="J18" s="26"/>
      <c r="K18" s="27">
        <f t="shared" si="0"/>
        <v>324</v>
      </c>
      <c r="L18" s="28">
        <f t="shared" si="1"/>
        <v>104229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324</v>
      </c>
      <c r="U18" s="28">
        <f t="shared" si="6"/>
        <v>0</v>
      </c>
      <c r="V18" s="28">
        <f t="shared" si="7"/>
        <v>324</v>
      </c>
      <c r="W18" s="31">
        <f t="shared" si="8"/>
        <v>104229</v>
      </c>
      <c r="X18" s="32"/>
      <c r="Y18" s="14" t="s">
        <v>77</v>
      </c>
      <c r="Z18" s="71">
        <f>ROUND(Z14*0.43,0)</f>
        <v>213846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676</v>
      </c>
      <c r="I19" s="26"/>
      <c r="J19" s="26"/>
      <c r="K19" s="27">
        <f t="shared" si="0"/>
        <v>676</v>
      </c>
      <c r="L19" s="28">
        <f t="shared" si="1"/>
        <v>103553</v>
      </c>
      <c r="M19" s="29"/>
      <c r="N19" s="799"/>
      <c r="O19" s="30">
        <f t="shared" si="2"/>
        <v>4.0798343925211086E-3</v>
      </c>
      <c r="P19" s="802"/>
      <c r="Q19" s="31">
        <f t="shared" si="3"/>
        <v>0</v>
      </c>
      <c r="R19" s="31">
        <v>0</v>
      </c>
      <c r="S19" s="28">
        <f t="shared" si="4"/>
        <v>676</v>
      </c>
      <c r="T19" s="28">
        <f t="shared" si="5"/>
        <v>0</v>
      </c>
      <c r="U19" s="28">
        <f t="shared" si="6"/>
        <v>0</v>
      </c>
      <c r="V19" s="28">
        <f t="shared" si="7"/>
        <v>676</v>
      </c>
      <c r="W19" s="31">
        <f t="shared" si="8"/>
        <v>103553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102053</v>
      </c>
      <c r="M20" s="29"/>
      <c r="N20" s="799"/>
      <c r="O20" s="30">
        <f t="shared" si="2"/>
        <v>9.0528869656533468E-3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102053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102053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102053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94553</v>
      </c>
      <c r="M22" s="29"/>
      <c r="N22" s="799"/>
      <c r="O22" s="30">
        <f t="shared" si="2"/>
        <v>4.5264434828266732E-2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94553</v>
      </c>
      <c r="X22" s="32">
        <f t="shared" si="9"/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94553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94553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1"/>
        <v>94553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 t="shared" si="8"/>
        <v>94553</v>
      </c>
      <c r="X24" s="32">
        <f t="shared" si="9"/>
        <v>0</v>
      </c>
      <c r="Y24" s="74" t="s">
        <v>169</v>
      </c>
      <c r="Z24" s="680">
        <f>+Z18+Z19</f>
        <v>213846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82553</v>
      </c>
      <c r="M25" s="29"/>
      <c r="N25" s="799"/>
      <c r="O25" s="30">
        <f t="shared" si="2"/>
        <v>7.2423095725226774E-2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si="8"/>
        <v>82553</v>
      </c>
      <c r="X25" s="32">
        <f t="shared" si="9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1"/>
        <v>48153</v>
      </c>
      <c r="M26" s="86"/>
      <c r="N26" s="800"/>
      <c r="O26" s="87">
        <f t="shared" si="2"/>
        <v>0.20761287441231677</v>
      </c>
      <c r="P26" s="803"/>
      <c r="Q26" s="144">
        <f t="shared" si="3"/>
        <v>0</v>
      </c>
      <c r="R26" s="144"/>
      <c r="S26" s="423">
        <f t="shared" si="4"/>
        <v>0</v>
      </c>
      <c r="T26" s="423">
        <f t="shared" si="5"/>
        <v>0</v>
      </c>
      <c r="U26" s="423">
        <f t="shared" si="6"/>
        <v>34400</v>
      </c>
      <c r="V26" s="423">
        <f t="shared" si="7"/>
        <v>34400</v>
      </c>
      <c r="W26" s="144">
        <f t="shared" si="8"/>
        <v>48153</v>
      </c>
      <c r="X26" s="32">
        <f t="shared" si="9"/>
        <v>0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48153</v>
      </c>
      <c r="M27" s="95"/>
      <c r="N27" s="804">
        <f>SUM(K27:K49)</f>
        <v>36207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97">
        <f t="shared" si="8"/>
        <v>48153</v>
      </c>
      <c r="X27" s="32">
        <f t="shared" si="9"/>
        <v>0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48153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8"/>
        <v>48153</v>
      </c>
      <c r="X28" s="32">
        <f t="shared" si="9"/>
        <v>0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48153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8"/>
        <v>48153</v>
      </c>
      <c r="X29" s="32">
        <f t="shared" si="9"/>
        <v>0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48153</v>
      </c>
      <c r="M30" s="29"/>
      <c r="N30" s="799"/>
      <c r="O30" s="30">
        <f t="shared" ref="O30:O56" si="10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8"/>
        <v>48153</v>
      </c>
      <c r="X30" s="32">
        <f t="shared" si="9"/>
        <v>0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48153</v>
      </c>
      <c r="M31" s="29"/>
      <c r="N31" s="799"/>
      <c r="O31" s="30">
        <f t="shared" si="10"/>
        <v>0</v>
      </c>
      <c r="P31" s="802"/>
      <c r="Q31" s="31">
        <f t="shared" ref="Q31:Q57" si="11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8"/>
        <v>48153</v>
      </c>
      <c r="X31" s="32">
        <f t="shared" si="9"/>
        <v>0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48153</v>
      </c>
      <c r="M32" s="29"/>
      <c r="N32" s="799"/>
      <c r="O32" s="30">
        <f t="shared" si="10"/>
        <v>0</v>
      </c>
      <c r="P32" s="802"/>
      <c r="Q32" s="31">
        <f t="shared" si="11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8"/>
        <v>48153</v>
      </c>
      <c r="X32" s="32">
        <f t="shared" si="9"/>
        <v>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48153</v>
      </c>
      <c r="M33" s="29"/>
      <c r="N33" s="799"/>
      <c r="O33" s="30">
        <f t="shared" si="10"/>
        <v>0</v>
      </c>
      <c r="P33" s="802"/>
      <c r="Q33" s="31">
        <f t="shared" si="11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8"/>
        <v>48153</v>
      </c>
      <c r="X33" s="32">
        <f t="shared" si="9"/>
        <v>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48153</v>
      </c>
      <c r="M34" s="29"/>
      <c r="N34" s="799"/>
      <c r="O34" s="30">
        <f t="shared" si="10"/>
        <v>0</v>
      </c>
      <c r="P34" s="802"/>
      <c r="Q34" s="31">
        <f t="shared" si="11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8"/>
        <v>48153</v>
      </c>
      <c r="X34" s="32">
        <f t="shared" si="9"/>
        <v>0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48153</v>
      </c>
      <c r="M35" s="29"/>
      <c r="N35" s="799"/>
      <c r="O35" s="30">
        <f t="shared" si="10"/>
        <v>0</v>
      </c>
      <c r="P35" s="802"/>
      <c r="Q35" s="31">
        <f t="shared" si="11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8"/>
        <v>48153</v>
      </c>
      <c r="X35" s="32">
        <f>W35-L35</f>
        <v>0</v>
      </c>
      <c r="Y35" s="117" t="s">
        <v>56</v>
      </c>
      <c r="Z35" s="113">
        <f>Z34*43%</f>
        <v>34400</v>
      </c>
      <c r="AA35" s="113">
        <f>AD4-Z35</f>
        <v>0</v>
      </c>
      <c r="AB35" s="113">
        <f>Z35+AA35</f>
        <v>34400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48153</v>
      </c>
      <c r="M36" s="29"/>
      <c r="N36" s="799"/>
      <c r="O36" s="30">
        <f t="shared" si="10"/>
        <v>0</v>
      </c>
      <c r="P36" s="802"/>
      <c r="Q36" s="31">
        <f t="shared" si="11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8"/>
        <v>48153</v>
      </c>
      <c r="X36" s="32">
        <f t="shared" si="9"/>
        <v>0</v>
      </c>
      <c r="Y36" s="117" t="s">
        <v>60</v>
      </c>
      <c r="Z36" s="113">
        <f>Z34*57%</f>
        <v>45599.999999999993</v>
      </c>
      <c r="AA36" s="113">
        <f>AD3-Z36</f>
        <v>0</v>
      </c>
      <c r="AB36" s="113">
        <f>Z36+AA36</f>
        <v>45599.999999999993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48153</v>
      </c>
      <c r="M37" s="29"/>
      <c r="N37" s="799"/>
      <c r="O37" s="30">
        <f t="shared" si="10"/>
        <v>0</v>
      </c>
      <c r="P37" s="802"/>
      <c r="Q37" s="31">
        <f t="shared" si="11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8"/>
        <v>48153</v>
      </c>
      <c r="X37" s="32">
        <f t="shared" si="9"/>
        <v>0</v>
      </c>
      <c r="Y37" s="117" t="s">
        <v>94</v>
      </c>
      <c r="Z37" s="113">
        <f>+Z35+Z36</f>
        <v>80000</v>
      </c>
      <c r="AA37" s="113">
        <f>SUM(AA35:AA36)</f>
        <v>0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518"/>
      <c r="J38" s="26"/>
      <c r="K38" s="27">
        <f t="shared" si="0"/>
        <v>11207</v>
      </c>
      <c r="L38" s="28">
        <f>+L37-K38</f>
        <v>36946</v>
      </c>
      <c r="M38" s="29"/>
      <c r="N38" s="799"/>
      <c r="O38" s="30">
        <f t="shared" si="10"/>
        <v>0.30952578230728867</v>
      </c>
      <c r="P38" s="802"/>
      <c r="Q38" s="31">
        <f t="shared" si="11"/>
        <v>0</v>
      </c>
      <c r="R38" s="31"/>
      <c r="S38" s="28">
        <f t="shared" si="4"/>
        <v>11207</v>
      </c>
      <c r="T38" s="28">
        <f t="shared" si="5"/>
        <v>0</v>
      </c>
      <c r="U38" s="28">
        <f t="shared" si="6"/>
        <v>0</v>
      </c>
      <c r="V38" s="28">
        <f t="shared" si="7"/>
        <v>11207</v>
      </c>
      <c r="W38" s="31">
        <f t="shared" si="8"/>
        <v>36946</v>
      </c>
      <c r="X38" s="32">
        <f t="shared" si="9"/>
        <v>0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36946</v>
      </c>
      <c r="M39" s="29"/>
      <c r="N39" s="799"/>
      <c r="O39" s="30">
        <f t="shared" si="10"/>
        <v>0</v>
      </c>
      <c r="P39" s="802"/>
      <c r="Q39" s="31">
        <f t="shared" si="11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8"/>
        <v>36946</v>
      </c>
      <c r="X39" s="32">
        <f t="shared" si="9"/>
        <v>0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36946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8"/>
        <v>36946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36946</v>
      </c>
      <c r="M41" s="29"/>
      <c r="N41" s="799"/>
      <c r="O41" s="30">
        <f t="shared" si="10"/>
        <v>0</v>
      </c>
      <c r="P41" s="802"/>
      <c r="Q41" s="31">
        <f t="shared" si="11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8"/>
        <v>36946</v>
      </c>
      <c r="X41" s="32">
        <f t="shared" si="9"/>
        <v>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15000</v>
      </c>
      <c r="I42" s="26"/>
      <c r="J42" s="26"/>
      <c r="K42" s="27">
        <f t="shared" si="0"/>
        <v>15000</v>
      </c>
      <c r="L42" s="28">
        <f t="shared" si="1"/>
        <v>21946</v>
      </c>
      <c r="M42" s="29"/>
      <c r="N42" s="799"/>
      <c r="O42" s="30">
        <f t="shared" si="10"/>
        <v>0.41428453061562681</v>
      </c>
      <c r="P42" s="802"/>
      <c r="Q42" s="31">
        <f t="shared" si="11"/>
        <v>0</v>
      </c>
      <c r="R42" s="31"/>
      <c r="S42" s="28">
        <f t="shared" si="4"/>
        <v>15000</v>
      </c>
      <c r="T42" s="28">
        <f t="shared" si="5"/>
        <v>0</v>
      </c>
      <c r="U42" s="28">
        <f t="shared" si="6"/>
        <v>0</v>
      </c>
      <c r="V42" s="28">
        <f t="shared" si="7"/>
        <v>15000</v>
      </c>
      <c r="W42" s="31">
        <f t="shared" si="8"/>
        <v>21946</v>
      </c>
      <c r="X42" s="32">
        <f t="shared" si="9"/>
        <v>0</v>
      </c>
      <c r="Y42" s="74" t="s">
        <v>96</v>
      </c>
      <c r="Z42" s="75">
        <v>35500</v>
      </c>
      <c r="AA42" s="129">
        <f>+H7+H8+H17+H18+H19+H22+H32+H33+H43+H44+H45+H53</f>
        <v>28613</v>
      </c>
      <c r="AB42" s="129">
        <f>+I7+I8+I17+I18+I19+I22+I32+I33+I43+I44+I45+I53</f>
        <v>9387</v>
      </c>
      <c r="AC42" s="130">
        <f>+AA42+AB42</f>
        <v>38000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21946</v>
      </c>
      <c r="M43" s="29"/>
      <c r="N43" s="799"/>
      <c r="O43" s="30">
        <f t="shared" si="10"/>
        <v>0</v>
      </c>
      <c r="P43" s="802"/>
      <c r="Q43" s="31">
        <f t="shared" si="11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8"/>
        <v>21946</v>
      </c>
      <c r="X43" s="32">
        <f t="shared" si="9"/>
        <v>0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21946</v>
      </c>
      <c r="M44" s="29"/>
      <c r="N44" s="799"/>
      <c r="O44" s="30">
        <f t="shared" si="10"/>
        <v>0</v>
      </c>
      <c r="P44" s="802"/>
      <c r="Q44" s="31">
        <f t="shared" si="11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8"/>
        <v>21946</v>
      </c>
      <c r="X44" s="32">
        <f t="shared" si="9"/>
        <v>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21946</v>
      </c>
      <c r="M45" s="29"/>
      <c r="N45" s="799"/>
      <c r="O45" s="30">
        <f t="shared" si="10"/>
        <v>0</v>
      </c>
      <c r="P45" s="802"/>
      <c r="Q45" s="31">
        <f t="shared" si="11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8"/>
        <v>21946</v>
      </c>
      <c r="X45" s="32">
        <f t="shared" si="9"/>
        <v>0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11946</v>
      </c>
      <c r="M46" s="29"/>
      <c r="N46" s="799"/>
      <c r="O46" s="30">
        <f t="shared" si="10"/>
        <v>0.27618968707708452</v>
      </c>
      <c r="P46" s="802"/>
      <c r="Q46" s="31">
        <f t="shared" si="11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8"/>
        <v>11946</v>
      </c>
      <c r="X46" s="32">
        <f t="shared" si="9"/>
        <v>0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11946</v>
      </c>
      <c r="M47" s="29"/>
      <c r="N47" s="799"/>
      <c r="O47" s="30">
        <f t="shared" si="10"/>
        <v>0</v>
      </c>
      <c r="P47" s="802"/>
      <c r="Q47" s="31">
        <f t="shared" si="11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8"/>
        <v>11946</v>
      </c>
      <c r="X47" s="32">
        <f t="shared" si="9"/>
        <v>0</v>
      </c>
      <c r="Y47" s="57">
        <v>20000</v>
      </c>
      <c r="Z47" s="89">
        <v>4586</v>
      </c>
      <c r="AA47" s="35"/>
      <c r="AB47" s="57">
        <f>57000-AA60</f>
        <v>11400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11946</v>
      </c>
      <c r="M48" s="136"/>
      <c r="N48" s="799"/>
      <c r="O48" s="137"/>
      <c r="P48" s="802"/>
      <c r="Q48" s="31">
        <f t="shared" si="11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8"/>
        <v>11946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1"/>
        <v>11946</v>
      </c>
      <c r="M49" s="86"/>
      <c r="N49" s="800"/>
      <c r="O49" s="87">
        <f t="shared" si="10"/>
        <v>0</v>
      </c>
      <c r="P49" s="803"/>
      <c r="Q49" s="144">
        <f t="shared" si="11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144">
        <f t="shared" si="8"/>
        <v>11946</v>
      </c>
      <c r="X49" s="32">
        <f t="shared" si="9"/>
        <v>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>+L49-K50</f>
        <v>11946</v>
      </c>
      <c r="M50" s="95"/>
      <c r="N50" s="804">
        <f>SUM(K50:K55)</f>
        <v>4000</v>
      </c>
      <c r="O50" s="96">
        <f t="shared" si="10"/>
        <v>0</v>
      </c>
      <c r="P50" s="805"/>
      <c r="Q50" s="138">
        <f t="shared" si="11"/>
        <v>0</v>
      </c>
      <c r="R50" s="157">
        <f t="shared" ref="R50" si="12">K50*$P$50/SUM($K$50:$K$55)-K50</f>
        <v>0</v>
      </c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97">
        <f t="shared" si="8"/>
        <v>11946</v>
      </c>
      <c r="X50" s="32">
        <f t="shared" si="9"/>
        <v>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0"/>
        <v>0</v>
      </c>
      <c r="L51" s="28">
        <f t="shared" si="1"/>
        <v>11946</v>
      </c>
      <c r="M51" s="234"/>
      <c r="N51" s="799"/>
      <c r="O51" s="184"/>
      <c r="P51" s="802"/>
      <c r="Q51" s="138">
        <f t="shared" si="11"/>
        <v>0</v>
      </c>
      <c r="R51" s="31"/>
      <c r="S51" s="422">
        <f t="shared" si="4"/>
        <v>0</v>
      </c>
      <c r="T51" s="28">
        <f t="shared" si="5"/>
        <v>0</v>
      </c>
      <c r="U51" s="28">
        <f t="shared" si="6"/>
        <v>0</v>
      </c>
      <c r="V51" s="28">
        <f t="shared" si="7"/>
        <v>0</v>
      </c>
      <c r="W51" s="31">
        <f t="shared" si="8"/>
        <v>11946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11946</v>
      </c>
      <c r="M52" s="234"/>
      <c r="N52" s="799"/>
      <c r="O52" s="184"/>
      <c r="P52" s="802"/>
      <c r="Q52" s="31">
        <f t="shared" si="11"/>
        <v>0</v>
      </c>
      <c r="R52" s="97">
        <f t="shared" ref="R52:R54" si="13">K52*$P$50/SUM($K$50:$K$55)-K52</f>
        <v>0</v>
      </c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8"/>
        <v>11946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4000</v>
      </c>
      <c r="I53" s="518"/>
      <c r="J53" s="26"/>
      <c r="K53" s="27">
        <f t="shared" si="0"/>
        <v>4000</v>
      </c>
      <c r="L53" s="28">
        <f>+L52-K53</f>
        <v>7946</v>
      </c>
      <c r="M53" s="29"/>
      <c r="N53" s="799"/>
      <c r="O53" s="30">
        <f t="shared" si="10"/>
        <v>0.11047587483083382</v>
      </c>
      <c r="P53" s="802"/>
      <c r="Q53" s="97">
        <f t="shared" si="11"/>
        <v>0</v>
      </c>
      <c r="R53" s="31"/>
      <c r="S53" s="28">
        <f t="shared" si="4"/>
        <v>4000</v>
      </c>
      <c r="T53" s="28">
        <f t="shared" si="5"/>
        <v>0</v>
      </c>
      <c r="U53" s="28">
        <f t="shared" si="6"/>
        <v>0</v>
      </c>
      <c r="V53" s="28">
        <f t="shared" si="7"/>
        <v>4000</v>
      </c>
      <c r="W53" s="31">
        <f t="shared" si="8"/>
        <v>7946</v>
      </c>
      <c r="X53" s="32">
        <f t="shared" si="9"/>
        <v>0</v>
      </c>
      <c r="Y53" s="80">
        <f>+Y52-15000</f>
        <v>-2513.5</v>
      </c>
      <c r="Z53" s="49">
        <f>+Z60-43000</f>
        <v>-8600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7946</v>
      </c>
      <c r="M54" s="29"/>
      <c r="N54" s="799"/>
      <c r="O54" s="30">
        <f t="shared" si="10"/>
        <v>0</v>
      </c>
      <c r="P54" s="802"/>
      <c r="Q54" s="97">
        <f t="shared" si="11"/>
        <v>0</v>
      </c>
      <c r="R54" s="31">
        <f t="shared" si="13"/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8"/>
        <v>7946</v>
      </c>
      <c r="X54" s="32">
        <f t="shared" si="9"/>
        <v>0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1"/>
        <v>7946</v>
      </c>
      <c r="M55" s="86"/>
      <c r="N55" s="800"/>
      <c r="O55" s="87">
        <f t="shared" si="10"/>
        <v>0</v>
      </c>
      <c r="P55" s="803"/>
      <c r="Q55" s="97">
        <f t="shared" si="11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144">
        <f t="shared" si="8"/>
        <v>7946</v>
      </c>
      <c r="X55" s="119">
        <f t="shared" si="9"/>
        <v>0</v>
      </c>
      <c r="Y55" s="807">
        <f ca="1">Z8</f>
        <v>41938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1"/>
        <v>7946</v>
      </c>
      <c r="M56" s="804"/>
      <c r="N56" s="804">
        <f>SUM(K56:K80)</f>
        <v>0</v>
      </c>
      <c r="O56" s="96">
        <f t="shared" si="10"/>
        <v>0</v>
      </c>
      <c r="P56" s="172"/>
      <c r="Q56" s="157">
        <f t="shared" si="11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97">
        <f t="shared" si="8"/>
        <v>7946</v>
      </c>
      <c r="X56" s="119">
        <f t="shared" si="9"/>
        <v>0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1"/>
        <v>7946</v>
      </c>
      <c r="M57" s="800"/>
      <c r="N57" s="800"/>
      <c r="O57" s="87" t="e">
        <f t="shared" ref="O57:O80" si="14">+K57/$N$56</f>
        <v>#DIV/0!</v>
      </c>
      <c r="P57" s="328"/>
      <c r="Q57" s="448">
        <f t="shared" si="11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144">
        <f t="shared" si="8"/>
        <v>7946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747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1"/>
        <v>7946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97">
        <f t="shared" si="8"/>
        <v>7946</v>
      </c>
      <c r="X58" s="408"/>
      <c r="Y58" s="180" t="s">
        <v>7</v>
      </c>
      <c r="Z58" s="181">
        <f>+AB4</f>
        <v>29719</v>
      </c>
      <c r="AA58" s="182">
        <f>+AB3</f>
        <v>71893</v>
      </c>
      <c r="AB58" s="182">
        <f>Z12</f>
        <v>0</v>
      </c>
      <c r="AC58" s="181">
        <f>AB10</f>
        <v>0</v>
      </c>
      <c r="AD58" s="661">
        <f>SUM(Z58:AC58)</f>
        <v>101612</v>
      </c>
      <c r="AE58" s="185">
        <v>101431</v>
      </c>
      <c r="AF58" s="17">
        <f>AE58-AD58</f>
        <v>-181</v>
      </c>
      <c r="AG58" s="17"/>
      <c r="AI58" s="50"/>
      <c r="AJ58" s="50"/>
      <c r="AK58" s="722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7946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8"/>
        <v>7946</v>
      </c>
      <c r="X59" s="408"/>
      <c r="Y59" s="180" t="s">
        <v>17</v>
      </c>
      <c r="Z59" s="182">
        <f>+AC4</f>
        <v>141781</v>
      </c>
      <c r="AA59" s="182">
        <f>AC3</f>
        <v>140804</v>
      </c>
      <c r="AB59" s="182">
        <f>Z11</f>
        <v>0</v>
      </c>
      <c r="AC59" s="181">
        <v>0</v>
      </c>
      <c r="AD59" s="661">
        <f>SUM(Z59:AC59)</f>
        <v>282585</v>
      </c>
      <c r="AE59" s="185">
        <v>257744</v>
      </c>
      <c r="AF59" s="17">
        <f>AE59-AD59</f>
        <v>-24841</v>
      </c>
      <c r="AG59" s="51"/>
      <c r="AH59" s="19"/>
      <c r="AI59" s="50"/>
      <c r="AJ59" s="50"/>
      <c r="AK59" s="722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7946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8"/>
        <v>7946</v>
      </c>
      <c r="X60" s="408"/>
      <c r="Y60" s="180" t="s">
        <v>112</v>
      </c>
      <c r="Z60" s="181">
        <f>+AD4+AH11</f>
        <v>34400</v>
      </c>
      <c r="AA60" s="182">
        <f>+AD3+AH10</f>
        <v>45600</v>
      </c>
      <c r="AB60" s="191">
        <v>0</v>
      </c>
      <c r="AC60" s="181">
        <v>0</v>
      </c>
      <c r="AD60" s="662">
        <f>SUM(Z60:AC60)</f>
        <v>80000</v>
      </c>
      <c r="AE60" s="185">
        <v>87186</v>
      </c>
      <c r="AF60" s="17">
        <f>AE60-AD60</f>
        <v>7186</v>
      </c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7946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8"/>
        <v>7946</v>
      </c>
      <c r="X61" s="408"/>
      <c r="Y61" s="193" t="s">
        <v>113</v>
      </c>
      <c r="Z61" s="194">
        <f>SUM(Z58:Z60)</f>
        <v>205900</v>
      </c>
      <c r="AA61" s="194">
        <f>SUM(AA58:AA60)</f>
        <v>258297</v>
      </c>
      <c r="AB61" s="194">
        <f>SUM(AB58:AB60)</f>
        <v>0</v>
      </c>
      <c r="AC61" s="194">
        <f>AB10</f>
        <v>0</v>
      </c>
      <c r="AD61" s="195">
        <f>SUM(AD58:AD60)</f>
        <v>464197</v>
      </c>
      <c r="AE61" s="185">
        <f>AD61-AA68</f>
        <v>-33119.649044834892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7946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8"/>
        <v>7946</v>
      </c>
      <c r="X62" s="408"/>
      <c r="Y62" s="199" t="s">
        <v>114</v>
      </c>
      <c r="Z62" s="200">
        <f>(Z58/$Z$28+(Z59/$Z$27)+(Z60/$Z$29))</f>
        <v>206475.65337818637</v>
      </c>
      <c r="AA62" s="200">
        <f>(AA58/$Z$28+(AA59/$Z$27)+(AA60/$Z$29))</f>
        <v>259012.10777958226</v>
      </c>
      <c r="AB62" s="200">
        <f>(AB58/$Z$28)+(AB59/$Z$27)</f>
        <v>0</v>
      </c>
      <c r="AC62" s="200">
        <f>AB9</f>
        <v>0</v>
      </c>
      <c r="AD62" s="201">
        <f>(AD58/$Z$28+(AD59/$Z$27)+(AD60/$Z$29))</f>
        <v>465487.7611577686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7946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8"/>
        <v>7946</v>
      </c>
      <c r="X63" s="408"/>
      <c r="Y63" s="368" t="s">
        <v>318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7946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8"/>
        <v>7946</v>
      </c>
      <c r="X64" s="408"/>
      <c r="Y64" s="368" t="s">
        <v>317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7946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8"/>
        <v>7946</v>
      </c>
      <c r="X65" s="408"/>
      <c r="Y65" s="371" t="s">
        <v>115</v>
      </c>
      <c r="Z65" s="484"/>
      <c r="AA65" s="203">
        <v>95340.255500000028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7946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8"/>
        <v>7946</v>
      </c>
      <c r="X66" s="408"/>
      <c r="Y66" s="814" t="s">
        <v>116</v>
      </c>
      <c r="Z66" s="815"/>
      <c r="AA66" s="203">
        <v>52014.378240000005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7946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ref="W67:W103" si="17">+W66-V67</f>
        <v>7946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7946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7946</v>
      </c>
      <c r="X68" s="211"/>
      <c r="Y68" s="814" t="s">
        <v>188</v>
      </c>
      <c r="Z68" s="815"/>
      <c r="AA68" s="207">
        <f>Z9*Z30+AC61</f>
        <v>497316.64904483489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7946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7"/>
        <v>7946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7946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8">IF(H70&lt;&gt;0,+H70+Q70+R70,0)</f>
        <v>0</v>
      </c>
      <c r="T70" s="28">
        <f>IF(I70&lt;&gt;0,+I70+Q70+R70,0)</f>
        <v>0</v>
      </c>
      <c r="U70" s="28">
        <f t="shared" ref="U70:U103" si="19">IF(J70&lt;&gt;0,+J70+Q70+R70,0)</f>
        <v>0</v>
      </c>
      <c r="V70" s="28">
        <f t="shared" ref="V70:V103" si="20">+S70+T70+U70</f>
        <v>0</v>
      </c>
      <c r="W70" s="31">
        <f t="shared" si="17"/>
        <v>7946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7946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8"/>
        <v>0</v>
      </c>
      <c r="T71" s="28">
        <f t="shared" ref="T71:T103" si="21">IF(I71&lt;&gt;0,+I71+Q71+R71,0)</f>
        <v>0</v>
      </c>
      <c r="U71" s="28">
        <f t="shared" si="19"/>
        <v>0</v>
      </c>
      <c r="V71" s="28">
        <f t="shared" si="20"/>
        <v>0</v>
      </c>
      <c r="W71" s="31">
        <f t="shared" si="17"/>
        <v>7946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7946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8"/>
        <v>0</v>
      </c>
      <c r="T72" s="28">
        <f t="shared" si="21"/>
        <v>0</v>
      </c>
      <c r="U72" s="28">
        <f t="shared" si="19"/>
        <v>0</v>
      </c>
      <c r="V72" s="28">
        <f t="shared" si="20"/>
        <v>0</v>
      </c>
      <c r="W72" s="31">
        <f t="shared" si="17"/>
        <v>7946</v>
      </c>
      <c r="X72" s="211"/>
      <c r="Y72" s="214" t="s">
        <v>47</v>
      </c>
      <c r="Z72" s="215">
        <f ca="1">Z8</f>
        <v>41938</v>
      </c>
      <c r="AA72" s="818" t="s">
        <v>118</v>
      </c>
      <c r="AB72" s="818"/>
      <c r="AC72" s="818"/>
      <c r="AD72" s="216">
        <v>8.5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7946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8"/>
        <v>0</v>
      </c>
      <c r="T73" s="28">
        <f t="shared" si="21"/>
        <v>0</v>
      </c>
      <c r="U73" s="28">
        <f t="shared" si="19"/>
        <v>0</v>
      </c>
      <c r="V73" s="28">
        <f t="shared" si="20"/>
        <v>0</v>
      </c>
      <c r="W73" s="31">
        <f t="shared" si="17"/>
        <v>7946</v>
      </c>
      <c r="X73" s="211"/>
      <c r="Y73" s="214" t="s">
        <v>119</v>
      </c>
      <c r="Z73" s="480">
        <f>AD72</f>
        <v>8.5</v>
      </c>
      <c r="AA73" s="742" t="s">
        <v>120</v>
      </c>
      <c r="AB73" s="742"/>
      <c r="AC73" s="742"/>
      <c r="AD73" s="219">
        <f>24-AD72</f>
        <v>15.5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2">SUM(H74:J74)</f>
        <v>0</v>
      </c>
      <c r="L74" s="28">
        <f t="shared" si="16"/>
        <v>7946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8"/>
        <v>0</v>
      </c>
      <c r="T74" s="28">
        <f t="shared" si="21"/>
        <v>0</v>
      </c>
      <c r="U74" s="28">
        <f t="shared" si="19"/>
        <v>0</v>
      </c>
      <c r="V74" s="28">
        <f t="shared" si="20"/>
        <v>0</v>
      </c>
      <c r="W74" s="31">
        <f t="shared" si="17"/>
        <v>7946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43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2"/>
        <v>0</v>
      </c>
      <c r="L75" s="28">
        <f t="shared" si="16"/>
        <v>7946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8"/>
        <v>0</v>
      </c>
      <c r="T75" s="28">
        <f t="shared" si="21"/>
        <v>0</v>
      </c>
      <c r="U75" s="28">
        <f t="shared" si="19"/>
        <v>0</v>
      </c>
      <c r="V75" s="28">
        <f t="shared" si="20"/>
        <v>0</v>
      </c>
      <c r="W75" s="31">
        <f t="shared" si="17"/>
        <v>7946</v>
      </c>
      <c r="X75" s="211"/>
      <c r="Y75" s="743" t="s">
        <v>121</v>
      </c>
      <c r="Z75" s="743" t="s">
        <v>122</v>
      </c>
      <c r="AA75" s="743" t="s">
        <v>123</v>
      </c>
      <c r="AB75" s="820" t="s">
        <v>124</v>
      </c>
      <c r="AC75" s="821"/>
      <c r="AD75" s="822"/>
      <c r="AE75" s="743" t="s">
        <v>125</v>
      </c>
      <c r="AF75" s="743" t="s">
        <v>126</v>
      </c>
      <c r="AG75" s="149"/>
      <c r="AH75" s="743" t="s">
        <v>121</v>
      </c>
      <c r="AI75" s="743"/>
      <c r="AJ75" s="214" t="s">
        <v>7</v>
      </c>
      <c r="AK75" s="236">
        <f>((+AD78-AA78)/$AD$73)*24</f>
        <v>91161.290322580651</v>
      </c>
      <c r="AL75" s="236">
        <f>AK75</f>
        <v>91161.290322580651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2"/>
        <v>0</v>
      </c>
      <c r="L76" s="28">
        <f t="shared" si="16"/>
        <v>7946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8"/>
        <v>0</v>
      </c>
      <c r="T76" s="28">
        <f t="shared" si="21"/>
        <v>0</v>
      </c>
      <c r="U76" s="28">
        <f t="shared" si="19"/>
        <v>0</v>
      </c>
      <c r="V76" s="28">
        <f t="shared" si="20"/>
        <v>0</v>
      </c>
      <c r="W76" s="31">
        <f t="shared" si="17"/>
        <v>7946</v>
      </c>
      <c r="X76" s="211"/>
      <c r="Y76" s="743"/>
      <c r="Z76" s="743"/>
      <c r="AA76" s="743"/>
      <c r="AB76" s="743"/>
      <c r="AC76" s="743"/>
      <c r="AD76" s="743"/>
      <c r="AE76" s="743"/>
      <c r="AF76" s="743"/>
      <c r="AG76" s="149"/>
      <c r="AH76" s="743"/>
      <c r="AI76" s="743"/>
      <c r="AJ76" s="214" t="s">
        <v>6</v>
      </c>
      <c r="AK76" s="236">
        <f>((+AD79-AA79)/$AD$73)*24</f>
        <v>266612.12903225806</v>
      </c>
      <c r="AL76" s="236">
        <f>+AK76</f>
        <v>266612.12903225806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2"/>
        <v>0</v>
      </c>
      <c r="L77" s="28">
        <f t="shared" si="16"/>
        <v>7946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8"/>
        <v>0</v>
      </c>
      <c r="T77" s="28">
        <f t="shared" si="21"/>
        <v>0</v>
      </c>
      <c r="U77" s="28">
        <f t="shared" si="19"/>
        <v>0</v>
      </c>
      <c r="V77" s="28">
        <f t="shared" si="20"/>
        <v>0</v>
      </c>
      <c r="W77" s="31">
        <f t="shared" si="17"/>
        <v>7946</v>
      </c>
      <c r="X77" s="211"/>
      <c r="Y77" s="743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43"/>
      <c r="AI77" s="78"/>
      <c r="AJ77" s="214" t="s">
        <v>8</v>
      </c>
      <c r="AK77" s="236">
        <f>((+AD80-AA80)/$AD$73)*24</f>
        <v>91822.451612903227</v>
      </c>
      <c r="AL77" s="236">
        <f>AK77</f>
        <v>91822.451612903227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2"/>
        <v>0</v>
      </c>
      <c r="L78" s="28">
        <f t="shared" si="16"/>
        <v>7946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8"/>
        <v>0</v>
      </c>
      <c r="T78" s="28">
        <f t="shared" si="21"/>
        <v>0</v>
      </c>
      <c r="U78" s="28">
        <f t="shared" si="19"/>
        <v>0</v>
      </c>
      <c r="V78" s="28">
        <f t="shared" si="20"/>
        <v>0</v>
      </c>
      <c r="W78" s="31">
        <f t="shared" si="17"/>
        <v>7946</v>
      </c>
      <c r="X78" s="211"/>
      <c r="Y78" s="214" t="s">
        <v>7</v>
      </c>
      <c r="Z78" s="224">
        <v>120795</v>
      </c>
      <c r="AA78" s="225">
        <v>42737</v>
      </c>
      <c r="AB78" s="226">
        <f t="shared" ref="AB78:AC80" si="23">+Z58</f>
        <v>29719</v>
      </c>
      <c r="AC78" s="226">
        <f t="shared" si="23"/>
        <v>71893</v>
      </c>
      <c r="AD78" s="226">
        <f>+AB78+AC78+AB58+AC58</f>
        <v>101612</v>
      </c>
      <c r="AE78" s="519">
        <f>+((AD58/24)*$AD$73)+AA78</f>
        <v>108361.41666666666</v>
      </c>
      <c r="AF78" s="227">
        <f>+AE78-AD78</f>
        <v>6749.416666666657</v>
      </c>
      <c r="AG78" s="212"/>
      <c r="AH78" s="214" t="s">
        <v>7</v>
      </c>
      <c r="AI78" s="446">
        <f>+AA78</f>
        <v>42737</v>
      </c>
      <c r="AK78" s="231">
        <f>+SUM(AK75:AK77)</f>
        <v>449595.87096774194</v>
      </c>
      <c r="AL78" s="231">
        <f>+SUM(AL75:AL77)</f>
        <v>449595.87096774194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2"/>
        <v>0</v>
      </c>
      <c r="L79" s="28">
        <f t="shared" si="16"/>
        <v>7946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8"/>
        <v>0</v>
      </c>
      <c r="T79" s="28">
        <f t="shared" si="21"/>
        <v>0</v>
      </c>
      <c r="U79" s="28">
        <f t="shared" si="19"/>
        <v>0</v>
      </c>
      <c r="V79" s="28">
        <f t="shared" si="20"/>
        <v>0</v>
      </c>
      <c r="W79" s="31">
        <f t="shared" si="17"/>
        <v>7946</v>
      </c>
      <c r="X79" s="211"/>
      <c r="Y79" s="214" t="s">
        <v>6</v>
      </c>
      <c r="Z79" s="224">
        <v>323488</v>
      </c>
      <c r="AA79" s="225">
        <v>110398</v>
      </c>
      <c r="AB79" s="226">
        <f t="shared" si="23"/>
        <v>141781</v>
      </c>
      <c r="AC79" s="226">
        <f t="shared" si="23"/>
        <v>140804</v>
      </c>
      <c r="AD79" s="226">
        <f>+AB79+AC79+AB59</f>
        <v>282585</v>
      </c>
      <c r="AE79" s="519">
        <f>+((AD59/24)*$AD$73)+AA79</f>
        <v>292900.8125</v>
      </c>
      <c r="AF79" s="227">
        <f>+AE79-AD79</f>
        <v>10315.8125</v>
      </c>
      <c r="AG79" s="212"/>
      <c r="AH79" s="214" t="s">
        <v>6</v>
      </c>
      <c r="AI79" s="446">
        <f>+AA79</f>
        <v>110398</v>
      </c>
      <c r="AJ79" s="53"/>
      <c r="AK79" s="481">
        <f>Z10</f>
        <v>497317</v>
      </c>
      <c r="AL79" s="481">
        <f>AK79-AK78</f>
        <v>47721.129032258061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2"/>
        <v>0</v>
      </c>
      <c r="L80" s="28">
        <f t="shared" si="16"/>
        <v>7946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8"/>
        <v>0</v>
      </c>
      <c r="T80" s="28">
        <f t="shared" si="21"/>
        <v>0</v>
      </c>
      <c r="U80" s="28">
        <f t="shared" si="19"/>
        <v>0</v>
      </c>
      <c r="V80" s="28">
        <f t="shared" si="20"/>
        <v>0</v>
      </c>
      <c r="W80" s="31">
        <f t="shared" si="17"/>
        <v>7946</v>
      </c>
      <c r="X80" s="211"/>
      <c r="Y80" s="214" t="s">
        <v>8</v>
      </c>
      <c r="Z80" s="224">
        <v>48446</v>
      </c>
      <c r="AA80" s="225">
        <v>20698</v>
      </c>
      <c r="AB80" s="226">
        <f t="shared" si="23"/>
        <v>34400</v>
      </c>
      <c r="AC80" s="226">
        <f t="shared" si="23"/>
        <v>45600</v>
      </c>
      <c r="AD80" s="226">
        <f>+AB80+AC80</f>
        <v>80000</v>
      </c>
      <c r="AE80" s="519">
        <f>+((AD60/24)*$AD$73)+AA80</f>
        <v>72364.666666666672</v>
      </c>
      <c r="AF80" s="227">
        <f>+AE80-AD80</f>
        <v>-7635.3333333333285</v>
      </c>
      <c r="AG80" s="149"/>
      <c r="AH80" s="214" t="s">
        <v>8</v>
      </c>
      <c r="AI80" s="447">
        <f>+AA80</f>
        <v>20698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2"/>
        <v>0</v>
      </c>
      <c r="L81" s="28">
        <f t="shared" si="16"/>
        <v>7946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8"/>
        <v>0</v>
      </c>
      <c r="T81" s="28">
        <f t="shared" si="21"/>
        <v>0</v>
      </c>
      <c r="U81" s="28">
        <f t="shared" si="19"/>
        <v>0</v>
      </c>
      <c r="V81" s="28">
        <f t="shared" si="20"/>
        <v>0</v>
      </c>
      <c r="W81" s="31">
        <f t="shared" si="17"/>
        <v>7946</v>
      </c>
      <c r="X81" s="211"/>
      <c r="Y81" s="228" t="s">
        <v>130</v>
      </c>
      <c r="Z81" s="229">
        <f t="shared" ref="Z81:AE81" si="24">SUM(Z78:Z80)</f>
        <v>492729</v>
      </c>
      <c r="AA81" s="230">
        <f t="shared" si="24"/>
        <v>173833</v>
      </c>
      <c r="AB81" s="229">
        <f t="shared" si="24"/>
        <v>205900</v>
      </c>
      <c r="AC81" s="229">
        <f t="shared" si="24"/>
        <v>258297</v>
      </c>
      <c r="AD81" s="229">
        <f t="shared" si="24"/>
        <v>464197</v>
      </c>
      <c r="AE81" s="229">
        <f t="shared" si="24"/>
        <v>473626.89583333331</v>
      </c>
      <c r="AF81" s="227">
        <f>+SUM(AF78:AF80)</f>
        <v>9429.8958333333285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2"/>
        <v>0</v>
      </c>
      <c r="L82" s="28">
        <f t="shared" si="16"/>
        <v>7946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8"/>
        <v>0</v>
      </c>
      <c r="T82" s="28">
        <f t="shared" si="21"/>
        <v>0</v>
      </c>
      <c r="U82" s="28">
        <f t="shared" si="19"/>
        <v>0</v>
      </c>
      <c r="V82" s="28">
        <f t="shared" si="20"/>
        <v>0</v>
      </c>
      <c r="W82" s="31">
        <f t="shared" si="17"/>
        <v>7946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2"/>
        <v>0</v>
      </c>
      <c r="L83" s="28">
        <f t="shared" si="16"/>
        <v>7946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8"/>
        <v>0</v>
      </c>
      <c r="T83" s="28">
        <f t="shared" si="21"/>
        <v>0</v>
      </c>
      <c r="U83" s="28">
        <f t="shared" si="19"/>
        <v>0</v>
      </c>
      <c r="V83" s="28">
        <f t="shared" si="20"/>
        <v>0</v>
      </c>
      <c r="W83" s="31">
        <f t="shared" si="17"/>
        <v>7946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2"/>
        <v>0</v>
      </c>
      <c r="L84" s="28">
        <f t="shared" si="16"/>
        <v>7946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8"/>
        <v>0</v>
      </c>
      <c r="T84" s="28">
        <f t="shared" si="21"/>
        <v>0</v>
      </c>
      <c r="U84" s="28">
        <f t="shared" si="19"/>
        <v>0</v>
      </c>
      <c r="V84" s="28">
        <f t="shared" si="20"/>
        <v>0</v>
      </c>
      <c r="W84" s="31">
        <f t="shared" si="17"/>
        <v>7946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2"/>
        <v>0</v>
      </c>
      <c r="L85" s="28">
        <f t="shared" si="16"/>
        <v>7946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8"/>
        <v>0</v>
      </c>
      <c r="T85" s="28">
        <f t="shared" si="21"/>
        <v>0</v>
      </c>
      <c r="U85" s="28">
        <f t="shared" si="19"/>
        <v>0</v>
      </c>
      <c r="V85" s="28">
        <f t="shared" si="20"/>
        <v>0</v>
      </c>
      <c r="W85" s="31">
        <f t="shared" si="17"/>
        <v>7946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2"/>
        <v>0</v>
      </c>
      <c r="L86" s="28">
        <f t="shared" si="16"/>
        <v>7946</v>
      </c>
      <c r="M86" s="810"/>
      <c r="N86" s="810"/>
      <c r="O86" s="30" t="e">
        <f t="shared" ref="O86:O93" si="25">+K86/$N$85</f>
        <v>#DIV/0!</v>
      </c>
      <c r="P86" s="171"/>
      <c r="Q86" s="31">
        <f t="shared" ref="Q86:Q103" si="26">IF($P$85=0,0,(-($P$85*O86)+K86)-K86)</f>
        <v>0</v>
      </c>
      <c r="R86" s="31"/>
      <c r="S86" s="28">
        <f t="shared" si="18"/>
        <v>0</v>
      </c>
      <c r="T86" s="28">
        <f t="shared" si="21"/>
        <v>0</v>
      </c>
      <c r="U86" s="28">
        <f t="shared" si="19"/>
        <v>0</v>
      </c>
      <c r="V86" s="28">
        <f t="shared" si="20"/>
        <v>0</v>
      </c>
      <c r="W86" s="31">
        <f t="shared" si="17"/>
        <v>7946</v>
      </c>
      <c r="Y86" s="14" t="s">
        <v>177</v>
      </c>
      <c r="Z86" s="336" t="s">
        <v>178</v>
      </c>
      <c r="AA86" s="337">
        <f>+AA81</f>
        <v>173833</v>
      </c>
      <c r="AB86" s="337">
        <f>AA87-AA86</f>
        <v>98356.729166666686</v>
      </c>
      <c r="AC86" s="42">
        <f>AB86*24/5.5</f>
        <v>429193.00000000006</v>
      </c>
      <c r="AD86" s="338">
        <f>AC86+353111</f>
        <v>782304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2"/>
        <v>0</v>
      </c>
      <c r="L87" s="28">
        <f t="shared" si="16"/>
        <v>7946</v>
      </c>
      <c r="M87" s="810"/>
      <c r="N87" s="810"/>
      <c r="O87" s="30" t="e">
        <f t="shared" si="25"/>
        <v>#DIV/0!</v>
      </c>
      <c r="P87" s="171"/>
      <c r="Q87" s="31">
        <f t="shared" si="26"/>
        <v>0</v>
      </c>
      <c r="R87" s="31"/>
      <c r="S87" s="28">
        <f t="shared" si="18"/>
        <v>0</v>
      </c>
      <c r="T87" s="28">
        <f t="shared" si="21"/>
        <v>0</v>
      </c>
      <c r="U87" s="28">
        <f t="shared" si="19"/>
        <v>0</v>
      </c>
      <c r="V87" s="28">
        <f t="shared" si="20"/>
        <v>0</v>
      </c>
      <c r="W87" s="31">
        <f t="shared" si="17"/>
        <v>7946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179278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2"/>
        <v>0</v>
      </c>
      <c r="L88" s="28">
        <f t="shared" si="16"/>
        <v>7946</v>
      </c>
      <c r="M88" s="810"/>
      <c r="N88" s="810"/>
      <c r="O88" s="30" t="e">
        <f t="shared" si="25"/>
        <v>#DIV/0!</v>
      </c>
      <c r="P88" s="171"/>
      <c r="Q88" s="31">
        <f t="shared" si="26"/>
        <v>0</v>
      </c>
      <c r="R88" s="31"/>
      <c r="S88" s="28">
        <f t="shared" si="18"/>
        <v>0</v>
      </c>
      <c r="T88" s="28">
        <f t="shared" si="21"/>
        <v>0</v>
      </c>
      <c r="U88" s="28">
        <f t="shared" si="19"/>
        <v>0</v>
      </c>
      <c r="V88" s="28">
        <f t="shared" si="20"/>
        <v>0</v>
      </c>
      <c r="W88" s="31">
        <f t="shared" si="17"/>
        <v>7946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2"/>
        <v>0</v>
      </c>
      <c r="L89" s="28">
        <f t="shared" si="16"/>
        <v>7946</v>
      </c>
      <c r="M89" s="810"/>
      <c r="N89" s="810"/>
      <c r="O89" s="30" t="e">
        <f t="shared" si="25"/>
        <v>#DIV/0!</v>
      </c>
      <c r="P89" s="171"/>
      <c r="Q89" s="31">
        <f t="shared" si="26"/>
        <v>0</v>
      </c>
      <c r="R89" s="31"/>
      <c r="S89" s="28">
        <f t="shared" si="18"/>
        <v>0</v>
      </c>
      <c r="T89" s="28">
        <f t="shared" si="21"/>
        <v>0</v>
      </c>
      <c r="U89" s="28">
        <f t="shared" si="19"/>
        <v>0</v>
      </c>
      <c r="V89" s="28">
        <f t="shared" si="20"/>
        <v>0</v>
      </c>
      <c r="W89" s="31">
        <f t="shared" si="17"/>
        <v>7946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2"/>
        <v>0</v>
      </c>
      <c r="L90" s="28">
        <f t="shared" si="16"/>
        <v>7946</v>
      </c>
      <c r="M90" s="810"/>
      <c r="N90" s="810"/>
      <c r="O90" s="30" t="e">
        <f t="shared" si="25"/>
        <v>#DIV/0!</v>
      </c>
      <c r="P90" s="171"/>
      <c r="Q90" s="31">
        <f t="shared" si="26"/>
        <v>0</v>
      </c>
      <c r="R90" s="31"/>
      <c r="S90" s="28">
        <f t="shared" si="18"/>
        <v>0</v>
      </c>
      <c r="T90" s="28">
        <f t="shared" si="21"/>
        <v>0</v>
      </c>
      <c r="U90" s="28">
        <f t="shared" si="19"/>
        <v>0</v>
      </c>
      <c r="V90" s="28">
        <f t="shared" si="20"/>
        <v>0</v>
      </c>
      <c r="W90" s="31">
        <f t="shared" si="17"/>
        <v>7946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2"/>
        <v>0</v>
      </c>
      <c r="L91" s="28">
        <f t="shared" si="16"/>
        <v>7946</v>
      </c>
      <c r="M91" s="810"/>
      <c r="N91" s="810"/>
      <c r="O91" s="30" t="e">
        <f t="shared" si="25"/>
        <v>#DIV/0!</v>
      </c>
      <c r="P91" s="171"/>
      <c r="Q91" s="31">
        <f t="shared" si="26"/>
        <v>0</v>
      </c>
      <c r="R91" s="31"/>
      <c r="S91" s="28">
        <f t="shared" si="18"/>
        <v>0</v>
      </c>
      <c r="T91" s="28">
        <f t="shared" si="21"/>
        <v>0</v>
      </c>
      <c r="U91" s="28">
        <f t="shared" si="19"/>
        <v>0</v>
      </c>
      <c r="V91" s="28">
        <f t="shared" si="20"/>
        <v>0</v>
      </c>
      <c r="W91" s="31">
        <f t="shared" si="17"/>
        <v>7946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2"/>
        <v>0</v>
      </c>
      <c r="L92" s="28">
        <f t="shared" si="16"/>
        <v>7946</v>
      </c>
      <c r="M92" s="810"/>
      <c r="N92" s="810"/>
      <c r="O92" s="30" t="e">
        <f t="shared" si="25"/>
        <v>#DIV/0!</v>
      </c>
      <c r="P92" s="171"/>
      <c r="Q92" s="31">
        <f t="shared" si="26"/>
        <v>0</v>
      </c>
      <c r="R92" s="31"/>
      <c r="S92" s="28">
        <f t="shared" si="18"/>
        <v>0</v>
      </c>
      <c r="T92" s="28">
        <f t="shared" si="21"/>
        <v>0</v>
      </c>
      <c r="U92" s="28">
        <f t="shared" si="19"/>
        <v>0</v>
      </c>
      <c r="V92" s="28">
        <f t="shared" si="20"/>
        <v>0</v>
      </c>
      <c r="W92" s="31">
        <f t="shared" si="17"/>
        <v>7946</v>
      </c>
      <c r="Y92" s="882" t="s">
        <v>158</v>
      </c>
      <c r="Z92" s="586" t="s">
        <v>283</v>
      </c>
      <c r="AA92" s="699">
        <f>(SUMIF($D$2:$D$57,"domiciliario",$I$2:$I$103))/1000</f>
        <v>19.395</v>
      </c>
      <c r="AB92" s="700">
        <f>(SUMIF($D$2:$D$57,"domiciliario",$T$2:$T$103))/1000</f>
        <v>19.395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2"/>
        <v>0</v>
      </c>
      <c r="L93" s="28">
        <f t="shared" si="16"/>
        <v>7946</v>
      </c>
      <c r="M93" s="810"/>
      <c r="N93" s="810"/>
      <c r="O93" s="30" t="e">
        <f t="shared" si="25"/>
        <v>#DIV/0!</v>
      </c>
      <c r="P93" s="179"/>
      <c r="Q93" s="31">
        <f t="shared" si="26"/>
        <v>0</v>
      </c>
      <c r="R93" s="31"/>
      <c r="S93" s="28">
        <f t="shared" si="18"/>
        <v>0</v>
      </c>
      <c r="T93" s="28">
        <f t="shared" si="21"/>
        <v>0</v>
      </c>
      <c r="U93" s="28">
        <f t="shared" si="19"/>
        <v>0</v>
      </c>
      <c r="V93" s="28">
        <f t="shared" si="20"/>
        <v>0</v>
      </c>
      <c r="W93" s="31">
        <f t="shared" si="17"/>
        <v>7946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2"/>
        <v>0</v>
      </c>
      <c r="L94" s="28">
        <f t="shared" si="16"/>
        <v>7946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6"/>
        <v>0</v>
      </c>
      <c r="R94" s="31"/>
      <c r="S94" s="28">
        <f t="shared" si="18"/>
        <v>0</v>
      </c>
      <c r="T94" s="28">
        <f t="shared" si="21"/>
        <v>0</v>
      </c>
      <c r="U94" s="28">
        <f t="shared" si="19"/>
        <v>0</v>
      </c>
      <c r="V94" s="28">
        <f t="shared" si="20"/>
        <v>0</v>
      </c>
      <c r="W94" s="31">
        <f t="shared" si="17"/>
        <v>7946</v>
      </c>
      <c r="Y94" s="883"/>
      <c r="Z94" s="588" t="s">
        <v>80</v>
      </c>
      <c r="AA94" s="701">
        <f>(SUMIF($D$2:$D$57,"gnv",$I$2:$I$103))/1000</f>
        <v>0.32400000000000001</v>
      </c>
      <c r="AB94" s="702">
        <f>(SUMIF($D$2:$D$57,"gnv",$T$2:$T$103))/1000</f>
        <v>0.32400000000000001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2"/>
        <v>0</v>
      </c>
      <c r="L95" s="28">
        <f t="shared" si="16"/>
        <v>7946</v>
      </c>
      <c r="M95" s="810"/>
      <c r="N95" s="810"/>
      <c r="O95" s="30">
        <f t="shared" ref="O95:O103" si="27">IF($N$94=0,0,+K95/$N$94)</f>
        <v>0</v>
      </c>
      <c r="P95" s="171"/>
      <c r="Q95" s="31">
        <f t="shared" si="26"/>
        <v>0</v>
      </c>
      <c r="R95" s="31"/>
      <c r="S95" s="28">
        <f t="shared" si="18"/>
        <v>0</v>
      </c>
      <c r="T95" s="28">
        <f t="shared" si="21"/>
        <v>0</v>
      </c>
      <c r="U95" s="28">
        <f t="shared" si="19"/>
        <v>0</v>
      </c>
      <c r="V95" s="28">
        <f t="shared" si="20"/>
        <v>0</v>
      </c>
      <c r="W95" s="31">
        <f t="shared" si="17"/>
        <v>7946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10</v>
      </c>
      <c r="AB95" s="702">
        <f>(SUMIF($D$2:$D$57,"termico",$T$2:$T$103)+SUMIF($D$2:$D$57,"electrico",$T$2:$T$103)+SUMIF($D$2:$D$57,"térmico",$T$2:$T$103))/1000</f>
        <v>10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2"/>
        <v>0</v>
      </c>
      <c r="L96" s="28">
        <f t="shared" si="16"/>
        <v>7946</v>
      </c>
      <c r="M96" s="810"/>
      <c r="N96" s="810"/>
      <c r="O96" s="30">
        <f t="shared" si="27"/>
        <v>0</v>
      </c>
      <c r="P96" s="171"/>
      <c r="Q96" s="31">
        <f t="shared" si="26"/>
        <v>0</v>
      </c>
      <c r="R96" s="31"/>
      <c r="S96" s="28">
        <f t="shared" si="18"/>
        <v>0</v>
      </c>
      <c r="T96" s="28">
        <f t="shared" si="21"/>
        <v>0</v>
      </c>
      <c r="U96" s="28">
        <f t="shared" si="19"/>
        <v>0</v>
      </c>
      <c r="V96" s="28">
        <f t="shared" si="20"/>
        <v>0</v>
      </c>
      <c r="W96" s="31">
        <f t="shared" si="17"/>
        <v>7946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2"/>
        <v>0</v>
      </c>
      <c r="L97" s="28">
        <f t="shared" si="16"/>
        <v>7946</v>
      </c>
      <c r="M97" s="810"/>
      <c r="N97" s="810"/>
      <c r="O97" s="30">
        <f t="shared" si="27"/>
        <v>0</v>
      </c>
      <c r="P97" s="171"/>
      <c r="Q97" s="31">
        <f t="shared" si="26"/>
        <v>0</v>
      </c>
      <c r="R97" s="31"/>
      <c r="S97" s="28">
        <f t="shared" si="18"/>
        <v>0</v>
      </c>
      <c r="T97" s="28">
        <f t="shared" si="21"/>
        <v>0</v>
      </c>
      <c r="U97" s="28">
        <f t="shared" si="19"/>
        <v>0</v>
      </c>
      <c r="V97" s="28">
        <f t="shared" si="20"/>
        <v>0</v>
      </c>
      <c r="W97" s="31">
        <f t="shared" si="17"/>
        <v>7946</v>
      </c>
      <c r="Y97" s="825" t="s">
        <v>154</v>
      </c>
      <c r="Z97" s="489" t="s">
        <v>283</v>
      </c>
      <c r="AA97" s="705">
        <f>(SUMIF($D$2:$D$57,"domiciliario",$H$2:$H$103))/1000</f>
        <v>31.797999999999998</v>
      </c>
      <c r="AB97" s="706">
        <f>(SUMIF($D$2:$D$57,"domiciliario",$S$2:$S$103))/1000</f>
        <v>31.797999999999998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2"/>
        <v>0</v>
      </c>
      <c r="L98" s="28">
        <f t="shared" si="16"/>
        <v>7946</v>
      </c>
      <c r="M98" s="810"/>
      <c r="N98" s="810"/>
      <c r="O98" s="30">
        <f t="shared" si="27"/>
        <v>0</v>
      </c>
      <c r="P98" s="171"/>
      <c r="Q98" s="31">
        <f t="shared" si="26"/>
        <v>0</v>
      </c>
      <c r="R98" s="31"/>
      <c r="S98" s="28">
        <f t="shared" si="18"/>
        <v>0</v>
      </c>
      <c r="T98" s="28">
        <f t="shared" si="21"/>
        <v>0</v>
      </c>
      <c r="U98" s="28">
        <f t="shared" si="19"/>
        <v>0</v>
      </c>
      <c r="V98" s="28">
        <f t="shared" si="20"/>
        <v>0</v>
      </c>
      <c r="W98" s="31">
        <f t="shared" si="17"/>
        <v>7946</v>
      </c>
      <c r="Y98" s="826"/>
      <c r="Z98" s="492" t="s">
        <v>284</v>
      </c>
      <c r="AA98" s="707">
        <f>(SUMIF($D$2:$D$57,"industrial",$H$2:$H$103))/1000</f>
        <v>21.675999999999998</v>
      </c>
      <c r="AB98" s="708">
        <f>(SUMIF($D$2:$D$57,"industrial",$S$2:$S$103))/1000</f>
        <v>21.675999999999998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2"/>
        <v>0</v>
      </c>
      <c r="L99" s="28">
        <f t="shared" si="16"/>
        <v>7946</v>
      </c>
      <c r="M99" s="810"/>
      <c r="N99" s="810"/>
      <c r="O99" s="30">
        <f t="shared" si="27"/>
        <v>0</v>
      </c>
      <c r="P99" s="171"/>
      <c r="Q99" s="31">
        <f t="shared" si="26"/>
        <v>0</v>
      </c>
      <c r="R99" s="31"/>
      <c r="S99" s="28">
        <f t="shared" si="18"/>
        <v>0</v>
      </c>
      <c r="T99" s="28">
        <f t="shared" si="21"/>
        <v>0</v>
      </c>
      <c r="U99" s="28">
        <f t="shared" si="19"/>
        <v>0</v>
      </c>
      <c r="V99" s="28">
        <f t="shared" si="20"/>
        <v>0</v>
      </c>
      <c r="W99" s="31">
        <f t="shared" si="17"/>
        <v>7946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2"/>
        <v>0</v>
      </c>
      <c r="L100" s="28">
        <f t="shared" si="16"/>
        <v>7946</v>
      </c>
      <c r="M100" s="810"/>
      <c r="N100" s="810"/>
      <c r="O100" s="30">
        <f t="shared" si="27"/>
        <v>0</v>
      </c>
      <c r="P100" s="171"/>
      <c r="Q100" s="31">
        <f t="shared" si="26"/>
        <v>0</v>
      </c>
      <c r="R100" s="31"/>
      <c r="S100" s="28">
        <f t="shared" si="18"/>
        <v>0</v>
      </c>
      <c r="T100" s="28">
        <f t="shared" si="21"/>
        <v>0</v>
      </c>
      <c r="U100" s="28">
        <f t="shared" si="19"/>
        <v>0</v>
      </c>
      <c r="V100" s="28">
        <f t="shared" si="20"/>
        <v>0</v>
      </c>
      <c r="W100" s="31">
        <f t="shared" si="17"/>
        <v>7946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88.307000000000002</v>
      </c>
      <c r="AB100" s="708">
        <f>(SUMIF($D$2:$D$57,"termico",$S$2:$S$103)+SUMIF($D$2:$D$57,"electrico",$S$2:$S$103)+SUMIF($D$2:$D$57,"térmico",$S$2:$S$103))/1000</f>
        <v>88.307000000000002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2"/>
        <v>0</v>
      </c>
      <c r="L101" s="28">
        <f t="shared" si="16"/>
        <v>7946</v>
      </c>
      <c r="M101" s="810"/>
      <c r="N101" s="810"/>
      <c r="O101" s="30">
        <f t="shared" si="27"/>
        <v>0</v>
      </c>
      <c r="P101" s="171"/>
      <c r="Q101" s="31">
        <f t="shared" si="26"/>
        <v>0</v>
      </c>
      <c r="R101" s="31"/>
      <c r="S101" s="28">
        <f t="shared" si="18"/>
        <v>0</v>
      </c>
      <c r="T101" s="28">
        <f t="shared" si="21"/>
        <v>0</v>
      </c>
      <c r="U101" s="28">
        <f t="shared" si="19"/>
        <v>0</v>
      </c>
      <c r="V101" s="28">
        <f t="shared" si="20"/>
        <v>0</v>
      </c>
      <c r="W101" s="31">
        <f t="shared" si="17"/>
        <v>7946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2"/>
        <v>0</v>
      </c>
      <c r="L102" s="28">
        <f t="shared" si="16"/>
        <v>7946</v>
      </c>
      <c r="M102" s="810"/>
      <c r="N102" s="810"/>
      <c r="O102" s="30">
        <f t="shared" si="27"/>
        <v>0</v>
      </c>
      <c r="P102" s="171"/>
      <c r="Q102" s="31">
        <f t="shared" si="26"/>
        <v>0</v>
      </c>
      <c r="R102" s="31"/>
      <c r="S102" s="28">
        <f t="shared" si="18"/>
        <v>0</v>
      </c>
      <c r="T102" s="28">
        <f t="shared" si="21"/>
        <v>0</v>
      </c>
      <c r="U102" s="28">
        <f t="shared" si="19"/>
        <v>0</v>
      </c>
      <c r="V102" s="28">
        <f t="shared" si="20"/>
        <v>0</v>
      </c>
      <c r="W102" s="31">
        <f t="shared" si="17"/>
        <v>7946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34.4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2"/>
        <v>0</v>
      </c>
      <c r="L103" s="28">
        <f t="shared" si="16"/>
        <v>7946</v>
      </c>
      <c r="M103" s="810"/>
      <c r="N103" s="810"/>
      <c r="O103" s="30">
        <f t="shared" si="27"/>
        <v>0</v>
      </c>
      <c r="P103" s="179"/>
      <c r="Q103" s="31">
        <f t="shared" si="26"/>
        <v>0</v>
      </c>
      <c r="R103" s="31"/>
      <c r="S103" s="28">
        <f t="shared" si="18"/>
        <v>0</v>
      </c>
      <c r="T103" s="28">
        <f t="shared" si="21"/>
        <v>0</v>
      </c>
      <c r="U103" s="28">
        <f t="shared" si="19"/>
        <v>0</v>
      </c>
      <c r="V103" s="28">
        <f t="shared" si="20"/>
        <v>0</v>
      </c>
      <c r="W103" s="31">
        <f t="shared" si="17"/>
        <v>7946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141781</v>
      </c>
      <c r="I105" s="252">
        <f>+SUM(I2:I103)</f>
        <v>29719</v>
      </c>
      <c r="J105" s="252">
        <f>+SUM(J2:J103)</f>
        <v>34400</v>
      </c>
      <c r="K105" s="252">
        <f>SUM(K2:K103)</f>
        <v>205900</v>
      </c>
      <c r="L105" s="253">
        <f>+L103</f>
        <v>7946</v>
      </c>
      <c r="M105" s="252">
        <f>SUM(M2:M103)</f>
        <v>0</v>
      </c>
      <c r="N105" s="252">
        <f>SUM(N2:N103)</f>
        <v>205900</v>
      </c>
      <c r="O105" s="252"/>
      <c r="P105" s="252">
        <f>SUM(P2:P103)</f>
        <v>0</v>
      </c>
      <c r="Q105" s="252">
        <f>SUM(Q2:Q103)</f>
        <v>0</v>
      </c>
      <c r="R105" s="252">
        <f>SUM(R2:R103)</f>
        <v>0</v>
      </c>
      <c r="S105" s="252">
        <f>SUM(S2:S103)</f>
        <v>141781</v>
      </c>
      <c r="T105" s="252">
        <f>+SUM(T2:T103)</f>
        <v>29719</v>
      </c>
      <c r="U105" s="252">
        <f>SUM(U2:U103)</f>
        <v>34400</v>
      </c>
      <c r="V105" s="252">
        <f>SUM(V2:V103)</f>
        <v>205900</v>
      </c>
      <c r="W105" s="254">
        <f>+W103</f>
        <v>7946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>
        <v>141781</v>
      </c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>
        <f>H106-H105</f>
        <v>0</v>
      </c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185400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-21932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</mergeCells>
  <conditionalFormatting sqref="AA78">
    <cfRule type="cellIs" dxfId="39" priority="3" operator="lessThan">
      <formula>$AA$78</formula>
    </cfRule>
    <cfRule type="cellIs" dxfId="38" priority="5" operator="greaterThan">
      <formula>$AE$78</formula>
    </cfRule>
  </conditionalFormatting>
  <conditionalFormatting sqref="AA79">
    <cfRule type="cellIs" dxfId="37" priority="4" operator="greaterThan">
      <formula>$AE$79</formula>
    </cfRule>
  </conditionalFormatting>
  <conditionalFormatting sqref="AA80">
    <cfRule type="cellIs" dxfId="36" priority="2" operator="greaterThan">
      <formula>$AE$79</formula>
    </cfRule>
  </conditionalFormatting>
  <conditionalFormatting sqref="AU4:AU23">
    <cfRule type="cellIs" dxfId="3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W41"/>
  <sheetViews>
    <sheetView workbookViewId="0">
      <selection activeCell="H37" sqref="H37"/>
    </sheetView>
  </sheetViews>
  <sheetFormatPr defaultRowHeight="15" x14ac:dyDescent="0.25"/>
  <cols>
    <col min="1" max="1" width="10.42578125" customWidth="1"/>
    <col min="2" max="2" width="11.7109375" bestFit="1" customWidth="1"/>
    <col min="3" max="3" width="17.28515625" customWidth="1"/>
    <col min="4" max="4" width="9.5703125" customWidth="1"/>
    <col min="5" max="5" width="7.7109375" customWidth="1"/>
    <col min="6" max="6" width="9" customWidth="1"/>
    <col min="7" max="7" width="6.42578125" customWidth="1"/>
    <col min="8" max="8" width="23.140625" customWidth="1"/>
    <col min="9" max="9" width="19.7109375" customWidth="1"/>
    <col min="10" max="10" width="14.42578125" style="521" customWidth="1"/>
    <col min="11" max="11" width="10.85546875" style="521" customWidth="1"/>
    <col min="12" max="14" width="9.140625" style="521"/>
    <col min="15" max="15" width="4.28515625" customWidth="1"/>
    <col min="16" max="16" width="11" customWidth="1"/>
    <col min="22" max="22" width="16" bestFit="1" customWidth="1"/>
    <col min="23" max="23" width="15" customWidth="1"/>
  </cols>
  <sheetData>
    <row r="1" spans="1:23" x14ac:dyDescent="0.25">
      <c r="A1" s="773"/>
      <c r="B1" s="773"/>
      <c r="C1" s="774" t="s">
        <v>198</v>
      </c>
      <c r="D1" s="775"/>
      <c r="E1" s="775"/>
      <c r="F1" s="775"/>
      <c r="G1" s="775"/>
      <c r="H1" s="775"/>
      <c r="I1" s="775"/>
    </row>
    <row r="2" spans="1:23" x14ac:dyDescent="0.25">
      <c r="A2" s="773"/>
      <c r="B2" s="773"/>
      <c r="C2" s="774" t="s">
        <v>199</v>
      </c>
      <c r="D2" s="775"/>
      <c r="E2" s="775"/>
      <c r="F2" s="775"/>
      <c r="G2" s="775"/>
      <c r="H2" s="775"/>
      <c r="I2" s="775"/>
    </row>
    <row r="3" spans="1:23" x14ac:dyDescent="0.25">
      <c r="A3" s="773"/>
      <c r="B3" s="773"/>
      <c r="C3" s="520"/>
      <c r="D3" s="520"/>
      <c r="E3" s="520"/>
      <c r="F3" s="520"/>
      <c r="G3" s="520"/>
      <c r="H3" s="520"/>
      <c r="I3" s="520"/>
    </row>
    <row r="4" spans="1:23" ht="56.25" customHeight="1" x14ac:dyDescent="0.25">
      <c r="A4" s="778" t="s">
        <v>294</v>
      </c>
      <c r="B4" s="901"/>
      <c r="C4" s="901"/>
      <c r="D4" s="901"/>
      <c r="E4" s="901"/>
      <c r="F4" s="901"/>
      <c r="G4" s="901"/>
      <c r="H4" s="901"/>
      <c r="I4" s="901"/>
    </row>
    <row r="5" spans="1:23" x14ac:dyDescent="0.25">
      <c r="A5" s="778"/>
      <c r="B5" s="779"/>
      <c r="C5" s="779"/>
      <c r="D5" s="779"/>
      <c r="E5" s="779"/>
      <c r="F5" s="779"/>
      <c r="G5" s="779"/>
      <c r="H5" s="779"/>
      <c r="I5" s="779"/>
    </row>
    <row r="6" spans="1:23" ht="15.75" thickBot="1" x14ac:dyDescent="0.3">
      <c r="A6" s="376"/>
      <c r="B6" s="377"/>
      <c r="C6" s="378"/>
      <c r="D6" s="378"/>
      <c r="E6" s="378"/>
      <c r="F6" s="378"/>
      <c r="G6" s="378"/>
      <c r="H6" s="378"/>
      <c r="I6" s="378"/>
      <c r="J6" s="521">
        <v>0.99719674845714268</v>
      </c>
    </row>
    <row r="7" spans="1:23" ht="15" customHeight="1" x14ac:dyDescent="0.25">
      <c r="B7" s="890" t="s">
        <v>200</v>
      </c>
      <c r="C7" s="890" t="s">
        <v>201</v>
      </c>
      <c r="D7" s="890" t="s">
        <v>202</v>
      </c>
      <c r="E7" s="890" t="s">
        <v>203</v>
      </c>
      <c r="F7" s="890" t="s">
        <v>204</v>
      </c>
      <c r="G7" s="890" t="s">
        <v>205</v>
      </c>
      <c r="H7" s="890" t="s">
        <v>206</v>
      </c>
      <c r="I7" s="890" t="s">
        <v>207</v>
      </c>
      <c r="J7" s="893" t="s">
        <v>295</v>
      </c>
      <c r="K7" s="522" t="s">
        <v>232</v>
      </c>
      <c r="L7" s="522" t="s">
        <v>7</v>
      </c>
      <c r="M7" s="522" t="s">
        <v>8</v>
      </c>
      <c r="N7" s="400"/>
      <c r="P7" s="523" t="s">
        <v>232</v>
      </c>
      <c r="Q7" s="523" t="s">
        <v>7</v>
      </c>
      <c r="R7" s="523" t="s">
        <v>8</v>
      </c>
      <c r="S7" s="400"/>
    </row>
    <row r="8" spans="1:23" ht="15.75" thickBot="1" x14ac:dyDescent="0.3">
      <c r="B8" s="892"/>
      <c r="C8" s="892"/>
      <c r="D8" s="891"/>
      <c r="E8" s="891"/>
      <c r="F8" s="891"/>
      <c r="G8" s="891"/>
      <c r="H8" s="892"/>
      <c r="I8" s="892"/>
      <c r="J8" s="894"/>
      <c r="K8" s="524">
        <v>269370</v>
      </c>
      <c r="L8" s="524">
        <v>89299</v>
      </c>
      <c r="M8" s="524">
        <v>76452</v>
      </c>
      <c r="N8" s="402"/>
      <c r="P8" s="525">
        <f>AVERAGE(P9:P32)</f>
        <v>334083.90734608559</v>
      </c>
      <c r="Q8" s="525">
        <f>AVERAGE(Q9:Q32)</f>
        <v>74931.999999999985</v>
      </c>
      <c r="R8" s="525">
        <f>AVERAGE(R9:R32)</f>
        <v>26160.753680611426</v>
      </c>
      <c r="S8" s="402"/>
    </row>
    <row r="9" spans="1:23" ht="15.75" customHeight="1" x14ac:dyDescent="0.25">
      <c r="B9" s="895">
        <v>41833</v>
      </c>
      <c r="C9" s="379" t="s">
        <v>208</v>
      </c>
      <c r="D9" s="526">
        <v>53900</v>
      </c>
      <c r="E9" s="527">
        <v>94900</v>
      </c>
      <c r="F9" s="527">
        <v>319600</v>
      </c>
      <c r="G9" s="528">
        <v>8000</v>
      </c>
      <c r="H9" s="529">
        <f>SUM(D9:G9)</f>
        <v>476400</v>
      </c>
      <c r="I9" s="530"/>
      <c r="J9" s="472">
        <f t="shared" ref="J9:J32" si="0">H9*$J$6</f>
        <v>475064.53096498275</v>
      </c>
      <c r="K9" s="472">
        <v>285000</v>
      </c>
      <c r="L9" s="472">
        <v>95000</v>
      </c>
      <c r="M9" s="472">
        <f>J9-K9-L9</f>
        <v>95064.530964982754</v>
      </c>
      <c r="N9" s="472">
        <f>J9-SUM(K9:M9)</f>
        <v>0</v>
      </c>
      <c r="P9" s="531">
        <v>350000</v>
      </c>
      <c r="Q9" s="531">
        <v>92019.368421052641</v>
      </c>
      <c r="R9" s="472">
        <f>J9-P9-Q9</f>
        <v>33045.162543930113</v>
      </c>
      <c r="S9" s="472">
        <f>J9-SUM(P9:R9)</f>
        <v>0</v>
      </c>
    </row>
    <row r="10" spans="1:23" ht="15.75" customHeight="1" x14ac:dyDescent="0.25">
      <c r="B10" s="896"/>
      <c r="C10" s="384" t="s">
        <v>209</v>
      </c>
      <c r="D10" s="527">
        <f>D9</f>
        <v>53900</v>
      </c>
      <c r="E10" s="527">
        <f>E9</f>
        <v>94900</v>
      </c>
      <c r="F10" s="527">
        <f>F9</f>
        <v>319600</v>
      </c>
      <c r="G10" s="527">
        <f>G9</f>
        <v>8000</v>
      </c>
      <c r="H10" s="532">
        <f t="shared" ref="H10:H32" si="1">SUM(D10:G10)</f>
        <v>476400</v>
      </c>
      <c r="I10" s="533"/>
      <c r="J10" s="472">
        <f t="shared" si="0"/>
        <v>475064.53096498275</v>
      </c>
      <c r="K10" s="472">
        <f>K9</f>
        <v>285000</v>
      </c>
      <c r="L10" s="472">
        <f>L9</f>
        <v>95000</v>
      </c>
      <c r="M10" s="472">
        <f t="shared" ref="M10:M32" si="2">J10-K10-L10</f>
        <v>95064.530964982754</v>
      </c>
      <c r="N10" s="472">
        <f t="shared" ref="N10:N32" si="3">J10-SUM(K10:M10)</f>
        <v>0</v>
      </c>
      <c r="P10" s="472">
        <f>P9</f>
        <v>350000</v>
      </c>
      <c r="Q10" s="472">
        <f>Q9</f>
        <v>92019.368421052641</v>
      </c>
      <c r="R10" s="472">
        <f t="shared" ref="R10:R32" si="4">J10-P10-Q10</f>
        <v>33045.162543930113</v>
      </c>
      <c r="S10" s="472">
        <f t="shared" ref="S10:S32" si="5">J10-SUM(P10:R10)</f>
        <v>0</v>
      </c>
    </row>
    <row r="11" spans="1:23" ht="15.75" customHeight="1" x14ac:dyDescent="0.25">
      <c r="B11" s="896"/>
      <c r="C11" s="384" t="s">
        <v>210</v>
      </c>
      <c r="D11" s="527">
        <f t="shared" ref="D11:G26" si="6">D10</f>
        <v>53900</v>
      </c>
      <c r="E11" s="527">
        <f t="shared" si="6"/>
        <v>94900</v>
      </c>
      <c r="F11" s="527">
        <f t="shared" si="6"/>
        <v>319600</v>
      </c>
      <c r="G11" s="527">
        <f t="shared" si="6"/>
        <v>8000</v>
      </c>
      <c r="H11" s="532">
        <f t="shared" si="1"/>
        <v>476400</v>
      </c>
      <c r="I11" s="533"/>
      <c r="J11" s="472">
        <f t="shared" si="0"/>
        <v>475064.53096498275</v>
      </c>
      <c r="K11" s="472">
        <f t="shared" ref="K11:L15" si="7">K10</f>
        <v>285000</v>
      </c>
      <c r="L11" s="472">
        <f t="shared" si="7"/>
        <v>95000</v>
      </c>
      <c r="M11" s="472">
        <f t="shared" si="2"/>
        <v>95064.530964982754</v>
      </c>
      <c r="N11" s="472">
        <f t="shared" si="3"/>
        <v>0</v>
      </c>
      <c r="P11" s="472">
        <f t="shared" ref="P11:Q15" si="8">P10</f>
        <v>350000</v>
      </c>
      <c r="Q11" s="472">
        <f t="shared" si="8"/>
        <v>92019.368421052641</v>
      </c>
      <c r="R11" s="472">
        <f t="shared" si="4"/>
        <v>33045.162543930113</v>
      </c>
      <c r="S11" s="472">
        <f t="shared" si="5"/>
        <v>0</v>
      </c>
    </row>
    <row r="12" spans="1:23" ht="15.75" customHeight="1" x14ac:dyDescent="0.25">
      <c r="B12" s="896"/>
      <c r="C12" s="384" t="s">
        <v>211</v>
      </c>
      <c r="D12" s="527">
        <f t="shared" si="6"/>
        <v>53900</v>
      </c>
      <c r="E12" s="527">
        <f t="shared" si="6"/>
        <v>94900</v>
      </c>
      <c r="F12" s="527">
        <f t="shared" si="6"/>
        <v>319600</v>
      </c>
      <c r="G12" s="527">
        <f t="shared" si="6"/>
        <v>8000</v>
      </c>
      <c r="H12" s="532">
        <f t="shared" si="1"/>
        <v>476400</v>
      </c>
      <c r="I12" s="533"/>
      <c r="J12" s="472">
        <f t="shared" si="0"/>
        <v>475064.53096498275</v>
      </c>
      <c r="K12" s="472">
        <f t="shared" si="7"/>
        <v>285000</v>
      </c>
      <c r="L12" s="472">
        <f t="shared" si="7"/>
        <v>95000</v>
      </c>
      <c r="M12" s="472">
        <f t="shared" si="2"/>
        <v>95064.530964982754</v>
      </c>
      <c r="N12" s="472">
        <f t="shared" si="3"/>
        <v>0</v>
      </c>
      <c r="P12" s="472">
        <f t="shared" si="8"/>
        <v>350000</v>
      </c>
      <c r="Q12" s="472">
        <f t="shared" si="8"/>
        <v>92019.368421052641</v>
      </c>
      <c r="R12" s="472">
        <f t="shared" si="4"/>
        <v>33045.162543930113</v>
      </c>
      <c r="S12" s="472">
        <f t="shared" si="5"/>
        <v>0</v>
      </c>
    </row>
    <row r="13" spans="1:23" ht="16.5" thickBot="1" x14ac:dyDescent="0.3">
      <c r="B13" s="896"/>
      <c r="C13" s="384" t="s">
        <v>212</v>
      </c>
      <c r="D13" s="527">
        <f t="shared" si="6"/>
        <v>53900</v>
      </c>
      <c r="E13" s="527">
        <f t="shared" si="6"/>
        <v>94900</v>
      </c>
      <c r="F13" s="527">
        <f t="shared" si="6"/>
        <v>319600</v>
      </c>
      <c r="G13" s="527">
        <f t="shared" si="6"/>
        <v>8000</v>
      </c>
      <c r="H13" s="532">
        <f t="shared" si="1"/>
        <v>476400</v>
      </c>
      <c r="I13" s="533"/>
      <c r="J13" s="472">
        <f t="shared" si="0"/>
        <v>475064.53096498275</v>
      </c>
      <c r="K13" s="472">
        <f t="shared" si="7"/>
        <v>285000</v>
      </c>
      <c r="L13" s="472">
        <f t="shared" si="7"/>
        <v>95000</v>
      </c>
      <c r="M13" s="472">
        <f t="shared" si="2"/>
        <v>95064.530964982754</v>
      </c>
      <c r="N13" s="472">
        <f t="shared" si="3"/>
        <v>0</v>
      </c>
      <c r="P13" s="472">
        <f t="shared" si="8"/>
        <v>350000</v>
      </c>
      <c r="Q13" s="472">
        <f t="shared" si="8"/>
        <v>92019.368421052641</v>
      </c>
      <c r="R13" s="472">
        <f t="shared" si="4"/>
        <v>33045.162543930113</v>
      </c>
      <c r="S13" s="472">
        <f t="shared" si="5"/>
        <v>0</v>
      </c>
      <c r="V13" s="554" t="s">
        <v>7</v>
      </c>
    </row>
    <row r="14" spans="1:23" ht="16.5" customHeight="1" x14ac:dyDescent="0.25">
      <c r="B14" s="896"/>
      <c r="C14" s="384" t="s">
        <v>213</v>
      </c>
      <c r="D14" s="527">
        <f t="shared" si="6"/>
        <v>53900</v>
      </c>
      <c r="E14" s="527">
        <f t="shared" si="6"/>
        <v>94900</v>
      </c>
      <c r="F14" s="527">
        <f t="shared" si="6"/>
        <v>319600</v>
      </c>
      <c r="G14" s="527">
        <f t="shared" si="6"/>
        <v>8000</v>
      </c>
      <c r="H14" s="532">
        <f t="shared" si="1"/>
        <v>476400</v>
      </c>
      <c r="I14" s="533"/>
      <c r="J14" s="472">
        <f t="shared" si="0"/>
        <v>475064.53096498275</v>
      </c>
      <c r="K14" s="472">
        <f t="shared" si="7"/>
        <v>285000</v>
      </c>
      <c r="L14" s="472">
        <f t="shared" si="7"/>
        <v>95000</v>
      </c>
      <c r="M14" s="472">
        <f t="shared" si="2"/>
        <v>95064.530964982754</v>
      </c>
      <c r="N14" s="472">
        <f t="shared" si="3"/>
        <v>0</v>
      </c>
      <c r="P14" s="472">
        <f t="shared" si="8"/>
        <v>350000</v>
      </c>
      <c r="Q14" s="472">
        <f t="shared" si="8"/>
        <v>92019.368421052641</v>
      </c>
      <c r="R14" s="472">
        <f t="shared" si="4"/>
        <v>33045.162543930113</v>
      </c>
      <c r="S14" s="472">
        <f t="shared" si="5"/>
        <v>0</v>
      </c>
      <c r="V14" s="534" t="s">
        <v>296</v>
      </c>
      <c r="W14" s="535" t="s">
        <v>297</v>
      </c>
    </row>
    <row r="15" spans="1:23" ht="17.25" customHeight="1" thickBot="1" x14ac:dyDescent="0.3">
      <c r="B15" s="896"/>
      <c r="C15" s="384" t="s">
        <v>214</v>
      </c>
      <c r="D15" s="527">
        <f t="shared" si="6"/>
        <v>53900</v>
      </c>
      <c r="E15" s="527">
        <f t="shared" si="6"/>
        <v>94900</v>
      </c>
      <c r="F15" s="527">
        <f t="shared" si="6"/>
        <v>319600</v>
      </c>
      <c r="G15" s="527">
        <f t="shared" si="6"/>
        <v>8000</v>
      </c>
      <c r="H15" s="532">
        <f t="shared" si="1"/>
        <v>476400</v>
      </c>
      <c r="I15" s="533"/>
      <c r="J15" s="472">
        <f t="shared" si="0"/>
        <v>475064.53096498275</v>
      </c>
      <c r="K15" s="472">
        <f t="shared" si="7"/>
        <v>285000</v>
      </c>
      <c r="L15" s="472">
        <f t="shared" si="7"/>
        <v>95000</v>
      </c>
      <c r="M15" s="472">
        <f t="shared" si="2"/>
        <v>95064.530964982754</v>
      </c>
      <c r="N15" s="472">
        <f t="shared" si="3"/>
        <v>0</v>
      </c>
      <c r="P15" s="472">
        <f t="shared" si="8"/>
        <v>350000</v>
      </c>
      <c r="Q15" s="472">
        <f t="shared" si="8"/>
        <v>92019.368421052641</v>
      </c>
      <c r="R15" s="472">
        <f t="shared" si="4"/>
        <v>33045.162543930113</v>
      </c>
      <c r="S15" s="472">
        <f t="shared" si="5"/>
        <v>0</v>
      </c>
      <c r="V15" s="536" t="s">
        <v>298</v>
      </c>
      <c r="W15" s="537">
        <f>+L9</f>
        <v>95000</v>
      </c>
    </row>
    <row r="16" spans="1:23" ht="15.75" customHeight="1" x14ac:dyDescent="0.25">
      <c r="B16" s="896"/>
      <c r="C16" s="384" t="s">
        <v>215</v>
      </c>
      <c r="D16" s="527">
        <f t="shared" si="6"/>
        <v>53900</v>
      </c>
      <c r="E16" s="538">
        <v>49900</v>
      </c>
      <c r="F16" s="538">
        <v>172600</v>
      </c>
      <c r="G16" s="527">
        <f t="shared" si="6"/>
        <v>8000</v>
      </c>
      <c r="H16" s="539">
        <f t="shared" si="1"/>
        <v>284400</v>
      </c>
      <c r="I16" s="898" t="s">
        <v>299</v>
      </c>
      <c r="J16" s="472">
        <f t="shared" si="0"/>
        <v>283602.75526121136</v>
      </c>
      <c r="K16" s="540">
        <f>210000-25</f>
        <v>209975</v>
      </c>
      <c r="L16" s="540">
        <f>67700-65</f>
        <v>67635</v>
      </c>
      <c r="M16" s="472">
        <f>J16-K16-L16</f>
        <v>5992.755261211365</v>
      </c>
      <c r="N16" s="472">
        <f t="shared" si="3"/>
        <v>0</v>
      </c>
      <c r="P16" s="541">
        <f>222602.755261211+51000</f>
        <v>273602.75526121096</v>
      </c>
      <c r="Q16" s="541">
        <v>10000</v>
      </c>
      <c r="R16" s="472">
        <f t="shared" si="4"/>
        <v>4.0745362639427185E-10</v>
      </c>
      <c r="S16" s="472">
        <f t="shared" si="5"/>
        <v>0</v>
      </c>
      <c r="V16" s="536" t="s">
        <v>300</v>
      </c>
      <c r="W16" s="537">
        <f>+L16</f>
        <v>67635</v>
      </c>
    </row>
    <row r="17" spans="2:23" ht="15.75" customHeight="1" thickBot="1" x14ac:dyDescent="0.3">
      <c r="B17" s="896"/>
      <c r="C17" s="384" t="s">
        <v>216</v>
      </c>
      <c r="D17" s="527">
        <f t="shared" si="6"/>
        <v>53900</v>
      </c>
      <c r="E17" s="538">
        <f t="shared" si="6"/>
        <v>49900</v>
      </c>
      <c r="F17" s="538">
        <f t="shared" si="6"/>
        <v>172600</v>
      </c>
      <c r="G17" s="527">
        <f t="shared" si="6"/>
        <v>8000</v>
      </c>
      <c r="H17" s="539">
        <f t="shared" si="1"/>
        <v>284400</v>
      </c>
      <c r="I17" s="899"/>
      <c r="J17" s="472">
        <f t="shared" si="0"/>
        <v>283602.75526121136</v>
      </c>
      <c r="K17" s="472">
        <f>K16</f>
        <v>209975</v>
      </c>
      <c r="L17" s="472">
        <f>L16</f>
        <v>67635</v>
      </c>
      <c r="M17" s="472">
        <f t="shared" si="2"/>
        <v>5992.755261211365</v>
      </c>
      <c r="N17" s="472">
        <f t="shared" si="3"/>
        <v>0</v>
      </c>
      <c r="P17" s="540">
        <f>P16</f>
        <v>273602.75526121096</v>
      </c>
      <c r="Q17" s="540">
        <f>Q16</f>
        <v>10000</v>
      </c>
      <c r="R17" s="472">
        <f t="shared" si="4"/>
        <v>4.0745362639427185E-10</v>
      </c>
      <c r="S17" s="472">
        <f t="shared" si="5"/>
        <v>0</v>
      </c>
      <c r="V17" s="542" t="s">
        <v>301</v>
      </c>
      <c r="W17" s="543">
        <f>+L21</f>
        <v>95000</v>
      </c>
    </row>
    <row r="18" spans="2:23" ht="15.75" customHeight="1" thickTop="1" thickBot="1" x14ac:dyDescent="0.3">
      <c r="B18" s="896"/>
      <c r="C18" s="384" t="s">
        <v>217</v>
      </c>
      <c r="D18" s="527">
        <f t="shared" si="6"/>
        <v>53900</v>
      </c>
      <c r="E18" s="538">
        <f t="shared" si="6"/>
        <v>49900</v>
      </c>
      <c r="F18" s="538">
        <f t="shared" si="6"/>
        <v>172600</v>
      </c>
      <c r="G18" s="527">
        <f t="shared" si="6"/>
        <v>8000</v>
      </c>
      <c r="H18" s="539">
        <f t="shared" si="1"/>
        <v>284400</v>
      </c>
      <c r="I18" s="899"/>
      <c r="J18" s="472">
        <f t="shared" si="0"/>
        <v>283602.75526121136</v>
      </c>
      <c r="K18" s="472">
        <f t="shared" ref="K18:L20" si="9">K17</f>
        <v>209975</v>
      </c>
      <c r="L18" s="472">
        <f t="shared" si="9"/>
        <v>67635</v>
      </c>
      <c r="M18" s="472">
        <f t="shared" si="2"/>
        <v>5992.755261211365</v>
      </c>
      <c r="N18" s="472">
        <f t="shared" si="3"/>
        <v>0</v>
      </c>
      <c r="P18" s="540">
        <f t="shared" ref="P18:Q20" si="10">P17</f>
        <v>273602.75526121096</v>
      </c>
      <c r="Q18" s="540">
        <f t="shared" si="10"/>
        <v>10000</v>
      </c>
      <c r="R18" s="472">
        <f t="shared" si="4"/>
        <v>4.0745362639427185E-10</v>
      </c>
      <c r="S18" s="472">
        <f t="shared" si="5"/>
        <v>0</v>
      </c>
      <c r="V18" s="544" t="s">
        <v>302</v>
      </c>
      <c r="W18" s="545">
        <f>+L33</f>
        <v>89298.958333333328</v>
      </c>
    </row>
    <row r="19" spans="2:23" ht="15.75" customHeight="1" x14ac:dyDescent="0.25">
      <c r="B19" s="896"/>
      <c r="C19" s="384" t="s">
        <v>218</v>
      </c>
      <c r="D19" s="527">
        <f t="shared" si="6"/>
        <v>53900</v>
      </c>
      <c r="E19" s="538">
        <f t="shared" si="6"/>
        <v>49900</v>
      </c>
      <c r="F19" s="538">
        <f t="shared" si="6"/>
        <v>172600</v>
      </c>
      <c r="G19" s="527">
        <f t="shared" si="6"/>
        <v>8000</v>
      </c>
      <c r="H19" s="539">
        <f t="shared" si="1"/>
        <v>284400</v>
      </c>
      <c r="I19" s="899"/>
      <c r="J19" s="472">
        <f t="shared" si="0"/>
        <v>283602.75526121136</v>
      </c>
      <c r="K19" s="472">
        <f t="shared" si="9"/>
        <v>209975</v>
      </c>
      <c r="L19" s="472">
        <f t="shared" si="9"/>
        <v>67635</v>
      </c>
      <c r="M19" s="472">
        <f t="shared" si="2"/>
        <v>5992.755261211365</v>
      </c>
      <c r="N19" s="472">
        <f t="shared" si="3"/>
        <v>0</v>
      </c>
      <c r="P19" s="540">
        <f t="shared" si="10"/>
        <v>273602.75526121096</v>
      </c>
      <c r="Q19" s="540">
        <f t="shared" si="10"/>
        <v>10000</v>
      </c>
      <c r="R19" s="472">
        <f t="shared" si="4"/>
        <v>4.0745362639427185E-10</v>
      </c>
      <c r="S19" s="472">
        <f t="shared" si="5"/>
        <v>0</v>
      </c>
    </row>
    <row r="20" spans="2:23" ht="15.75" customHeight="1" thickBot="1" x14ac:dyDescent="0.3">
      <c r="B20" s="896"/>
      <c r="C20" s="384" t="s">
        <v>219</v>
      </c>
      <c r="D20" s="527">
        <f t="shared" si="6"/>
        <v>53900</v>
      </c>
      <c r="E20" s="538">
        <f t="shared" si="6"/>
        <v>49900</v>
      </c>
      <c r="F20" s="538">
        <f t="shared" si="6"/>
        <v>172600</v>
      </c>
      <c r="G20" s="527">
        <f t="shared" si="6"/>
        <v>8000</v>
      </c>
      <c r="H20" s="539">
        <f t="shared" si="1"/>
        <v>284400</v>
      </c>
      <c r="I20" s="900"/>
      <c r="J20" s="472">
        <f t="shared" si="0"/>
        <v>283602.75526121136</v>
      </c>
      <c r="K20" s="472">
        <f t="shared" si="9"/>
        <v>209975</v>
      </c>
      <c r="L20" s="472">
        <f t="shared" si="9"/>
        <v>67635</v>
      </c>
      <c r="M20" s="472">
        <f t="shared" si="2"/>
        <v>5992.755261211365</v>
      </c>
      <c r="N20" s="472">
        <f t="shared" si="3"/>
        <v>0</v>
      </c>
      <c r="P20" s="540">
        <f t="shared" si="10"/>
        <v>273602.75526121096</v>
      </c>
      <c r="Q20" s="540">
        <f t="shared" si="10"/>
        <v>10000</v>
      </c>
      <c r="R20" s="472">
        <f t="shared" si="4"/>
        <v>4.0745362639427185E-10</v>
      </c>
      <c r="S20" s="472">
        <f t="shared" si="5"/>
        <v>0</v>
      </c>
      <c r="V20" s="554" t="s">
        <v>6</v>
      </c>
    </row>
    <row r="21" spans="2:23" ht="15.75" customHeight="1" x14ac:dyDescent="0.25">
      <c r="B21" s="896"/>
      <c r="C21" s="384" t="s">
        <v>220</v>
      </c>
      <c r="D21" s="527">
        <f t="shared" si="6"/>
        <v>53900</v>
      </c>
      <c r="E21" s="527">
        <v>94900</v>
      </c>
      <c r="F21" s="527">
        <v>319600</v>
      </c>
      <c r="G21" s="527">
        <f t="shared" si="6"/>
        <v>8000</v>
      </c>
      <c r="H21" s="532">
        <f t="shared" si="1"/>
        <v>476400</v>
      </c>
      <c r="I21" s="533"/>
      <c r="J21" s="472">
        <f t="shared" si="0"/>
        <v>475064.53096498275</v>
      </c>
      <c r="K21" s="540">
        <f>K9</f>
        <v>285000</v>
      </c>
      <c r="L21" s="540">
        <f>L9</f>
        <v>95000</v>
      </c>
      <c r="M21" s="472">
        <f t="shared" si="2"/>
        <v>95064.530964982754</v>
      </c>
      <c r="N21" s="472">
        <f t="shared" si="3"/>
        <v>0</v>
      </c>
      <c r="P21" s="546">
        <f>P9</f>
        <v>350000</v>
      </c>
      <c r="Q21" s="546">
        <f>Q9</f>
        <v>92019.368421052641</v>
      </c>
      <c r="R21" s="472">
        <f t="shared" si="4"/>
        <v>33045.162543930113</v>
      </c>
      <c r="S21" s="472">
        <f t="shared" si="5"/>
        <v>0</v>
      </c>
      <c r="V21" s="534" t="s">
        <v>296</v>
      </c>
      <c r="W21" s="535" t="s">
        <v>297</v>
      </c>
    </row>
    <row r="22" spans="2:23" ht="15.75" customHeight="1" x14ac:dyDescent="0.25">
      <c r="B22" s="896"/>
      <c r="C22" s="384" t="s">
        <v>221</v>
      </c>
      <c r="D22" s="527">
        <f t="shared" si="6"/>
        <v>53900</v>
      </c>
      <c r="E22" s="527">
        <f t="shared" si="6"/>
        <v>94900</v>
      </c>
      <c r="F22" s="527">
        <f t="shared" si="6"/>
        <v>319600</v>
      </c>
      <c r="G22" s="527">
        <f t="shared" si="6"/>
        <v>8000</v>
      </c>
      <c r="H22" s="532">
        <f t="shared" si="1"/>
        <v>476400</v>
      </c>
      <c r="I22" s="533"/>
      <c r="J22" s="472">
        <f t="shared" si="0"/>
        <v>475064.53096498275</v>
      </c>
      <c r="K22" s="472">
        <f>K21</f>
        <v>285000</v>
      </c>
      <c r="L22" s="472">
        <f>L21</f>
        <v>95000</v>
      </c>
      <c r="M22" s="472">
        <f t="shared" si="2"/>
        <v>95064.530964982754</v>
      </c>
      <c r="N22" s="472">
        <f t="shared" si="3"/>
        <v>0</v>
      </c>
      <c r="P22" s="472">
        <f>P21</f>
        <v>350000</v>
      </c>
      <c r="Q22" s="472">
        <f>Q21</f>
        <v>92019.368421052641</v>
      </c>
      <c r="R22" s="472">
        <f t="shared" si="4"/>
        <v>33045.162543930113</v>
      </c>
      <c r="S22" s="472">
        <f t="shared" si="5"/>
        <v>0</v>
      </c>
      <c r="V22" s="536" t="s">
        <v>298</v>
      </c>
      <c r="W22" s="537">
        <f>+K9</f>
        <v>285000</v>
      </c>
    </row>
    <row r="23" spans="2:23" ht="15.75" customHeight="1" x14ac:dyDescent="0.25">
      <c r="B23" s="896"/>
      <c r="C23" s="384" t="s">
        <v>222</v>
      </c>
      <c r="D23" s="527">
        <f t="shared" si="6"/>
        <v>53900</v>
      </c>
      <c r="E23" s="527">
        <f t="shared" si="6"/>
        <v>94900</v>
      </c>
      <c r="F23" s="527">
        <f t="shared" si="6"/>
        <v>319600</v>
      </c>
      <c r="G23" s="527">
        <f t="shared" si="6"/>
        <v>8000</v>
      </c>
      <c r="H23" s="532">
        <f t="shared" si="1"/>
        <v>476400</v>
      </c>
      <c r="I23" s="533"/>
      <c r="J23" s="472">
        <f t="shared" si="0"/>
        <v>475064.53096498275</v>
      </c>
      <c r="K23" s="472">
        <f t="shared" ref="K23:L32" si="11">K22</f>
        <v>285000</v>
      </c>
      <c r="L23" s="472">
        <f t="shared" si="11"/>
        <v>95000</v>
      </c>
      <c r="M23" s="472">
        <f t="shared" si="2"/>
        <v>95064.530964982754</v>
      </c>
      <c r="N23" s="472">
        <f t="shared" si="3"/>
        <v>0</v>
      </c>
      <c r="P23" s="472">
        <f t="shared" ref="P23:Q32" si="12">P22</f>
        <v>350000</v>
      </c>
      <c r="Q23" s="472">
        <f t="shared" si="12"/>
        <v>92019.368421052641</v>
      </c>
      <c r="R23" s="472">
        <f t="shared" si="4"/>
        <v>33045.162543930113</v>
      </c>
      <c r="S23" s="472">
        <f t="shared" si="5"/>
        <v>0</v>
      </c>
      <c r="V23" s="536" t="s">
        <v>300</v>
      </c>
      <c r="W23" s="537">
        <f>+K16</f>
        <v>209975</v>
      </c>
    </row>
    <row r="24" spans="2:23" ht="15.75" customHeight="1" thickBot="1" x14ac:dyDescent="0.3">
      <c r="B24" s="896"/>
      <c r="C24" s="384" t="s">
        <v>223</v>
      </c>
      <c r="D24" s="527">
        <f t="shared" si="6"/>
        <v>53900</v>
      </c>
      <c r="E24" s="527">
        <f t="shared" si="6"/>
        <v>94900</v>
      </c>
      <c r="F24" s="527">
        <f t="shared" si="6"/>
        <v>319600</v>
      </c>
      <c r="G24" s="527">
        <f t="shared" si="6"/>
        <v>8000</v>
      </c>
      <c r="H24" s="532">
        <f t="shared" si="1"/>
        <v>476400</v>
      </c>
      <c r="I24" s="533"/>
      <c r="J24" s="472">
        <f t="shared" si="0"/>
        <v>475064.53096498275</v>
      </c>
      <c r="K24" s="472">
        <f t="shared" si="11"/>
        <v>285000</v>
      </c>
      <c r="L24" s="472">
        <f t="shared" si="11"/>
        <v>95000</v>
      </c>
      <c r="M24" s="472">
        <f t="shared" si="2"/>
        <v>95064.530964982754</v>
      </c>
      <c r="N24" s="472">
        <f t="shared" si="3"/>
        <v>0</v>
      </c>
      <c r="P24" s="472">
        <f t="shared" si="12"/>
        <v>350000</v>
      </c>
      <c r="Q24" s="472">
        <f t="shared" si="12"/>
        <v>92019.368421052641</v>
      </c>
      <c r="R24" s="472">
        <f t="shared" si="4"/>
        <v>33045.162543930113</v>
      </c>
      <c r="S24" s="472">
        <f t="shared" si="5"/>
        <v>0</v>
      </c>
      <c r="V24" s="542" t="s">
        <v>301</v>
      </c>
      <c r="W24" s="543">
        <f>+K22</f>
        <v>285000</v>
      </c>
    </row>
    <row r="25" spans="2:23" ht="15.75" customHeight="1" thickTop="1" thickBot="1" x14ac:dyDescent="0.3">
      <c r="B25" s="896"/>
      <c r="C25" s="384" t="s">
        <v>224</v>
      </c>
      <c r="D25" s="527">
        <f t="shared" si="6"/>
        <v>53900</v>
      </c>
      <c r="E25" s="527">
        <f t="shared" si="6"/>
        <v>94900</v>
      </c>
      <c r="F25" s="527">
        <f t="shared" si="6"/>
        <v>319600</v>
      </c>
      <c r="G25" s="527">
        <f t="shared" si="6"/>
        <v>8000</v>
      </c>
      <c r="H25" s="532">
        <f t="shared" si="1"/>
        <v>476400</v>
      </c>
      <c r="I25" s="533"/>
      <c r="J25" s="472">
        <f t="shared" si="0"/>
        <v>475064.53096498275</v>
      </c>
      <c r="K25" s="472">
        <f t="shared" si="11"/>
        <v>285000</v>
      </c>
      <c r="L25" s="472">
        <f t="shared" si="11"/>
        <v>95000</v>
      </c>
      <c r="M25" s="472">
        <f t="shared" si="2"/>
        <v>95064.530964982754</v>
      </c>
      <c r="N25" s="472">
        <f t="shared" si="3"/>
        <v>0</v>
      </c>
      <c r="P25" s="472">
        <f t="shared" si="12"/>
        <v>350000</v>
      </c>
      <c r="Q25" s="472">
        <f t="shared" si="12"/>
        <v>92019.368421052641</v>
      </c>
      <c r="R25" s="472">
        <f t="shared" si="4"/>
        <v>33045.162543930113</v>
      </c>
      <c r="S25" s="472">
        <f t="shared" si="5"/>
        <v>0</v>
      </c>
      <c r="V25" s="544" t="s">
        <v>302</v>
      </c>
      <c r="W25" s="545">
        <f>+K33</f>
        <v>269369.79166666669</v>
      </c>
    </row>
    <row r="26" spans="2:23" ht="16.5" customHeight="1" x14ac:dyDescent="0.25">
      <c r="B26" s="896"/>
      <c r="C26" s="384" t="s">
        <v>225</v>
      </c>
      <c r="D26" s="527">
        <f t="shared" si="6"/>
        <v>53900</v>
      </c>
      <c r="E26" s="527">
        <f t="shared" si="6"/>
        <v>94900</v>
      </c>
      <c r="F26" s="527">
        <f t="shared" si="6"/>
        <v>319600</v>
      </c>
      <c r="G26" s="527">
        <f t="shared" si="6"/>
        <v>8000</v>
      </c>
      <c r="H26" s="532">
        <f t="shared" si="1"/>
        <v>476400</v>
      </c>
      <c r="I26" s="533"/>
      <c r="J26" s="472">
        <f t="shared" si="0"/>
        <v>475064.53096498275</v>
      </c>
      <c r="K26" s="472">
        <f t="shared" si="11"/>
        <v>285000</v>
      </c>
      <c r="L26" s="472">
        <f t="shared" si="11"/>
        <v>95000</v>
      </c>
      <c r="M26" s="472">
        <f t="shared" si="2"/>
        <v>95064.530964982754</v>
      </c>
      <c r="N26" s="472">
        <f t="shared" si="3"/>
        <v>0</v>
      </c>
      <c r="P26" s="472">
        <f t="shared" si="12"/>
        <v>350000</v>
      </c>
      <c r="Q26" s="472">
        <f t="shared" si="12"/>
        <v>92019.368421052641</v>
      </c>
      <c r="R26" s="472">
        <f t="shared" si="4"/>
        <v>33045.162543930113</v>
      </c>
      <c r="S26" s="472">
        <f t="shared" si="5"/>
        <v>0</v>
      </c>
    </row>
    <row r="27" spans="2:23" ht="15.75" customHeight="1" thickBot="1" x14ac:dyDescent="0.3">
      <c r="B27" s="896"/>
      <c r="C27" s="384" t="s">
        <v>226</v>
      </c>
      <c r="D27" s="527">
        <f t="shared" ref="D27:G32" si="13">D26</f>
        <v>53900</v>
      </c>
      <c r="E27" s="527">
        <f t="shared" si="13"/>
        <v>94900</v>
      </c>
      <c r="F27" s="527">
        <f t="shared" si="13"/>
        <v>319600</v>
      </c>
      <c r="G27" s="527">
        <f t="shared" si="13"/>
        <v>8000</v>
      </c>
      <c r="H27" s="532">
        <f t="shared" si="1"/>
        <v>476400</v>
      </c>
      <c r="I27" s="533"/>
      <c r="J27" s="472">
        <f t="shared" si="0"/>
        <v>475064.53096498275</v>
      </c>
      <c r="K27" s="472">
        <f t="shared" si="11"/>
        <v>285000</v>
      </c>
      <c r="L27" s="472">
        <f t="shared" si="11"/>
        <v>95000</v>
      </c>
      <c r="M27" s="472">
        <f t="shared" si="2"/>
        <v>95064.530964982754</v>
      </c>
      <c r="N27" s="472">
        <f t="shared" si="3"/>
        <v>0</v>
      </c>
      <c r="P27" s="472">
        <f t="shared" si="12"/>
        <v>350000</v>
      </c>
      <c r="Q27" s="472">
        <f t="shared" si="12"/>
        <v>92019.368421052641</v>
      </c>
      <c r="R27" s="472">
        <f t="shared" si="4"/>
        <v>33045.162543930113</v>
      </c>
      <c r="S27" s="472">
        <f t="shared" si="5"/>
        <v>0</v>
      </c>
      <c r="V27" s="554" t="s">
        <v>8</v>
      </c>
    </row>
    <row r="28" spans="2:23" ht="16.5" customHeight="1" x14ac:dyDescent="0.25">
      <c r="B28" s="896"/>
      <c r="C28" s="384" t="s">
        <v>227</v>
      </c>
      <c r="D28" s="527">
        <f t="shared" si="13"/>
        <v>53900</v>
      </c>
      <c r="E28" s="527">
        <f t="shared" si="13"/>
        <v>94900</v>
      </c>
      <c r="F28" s="527">
        <f t="shared" si="13"/>
        <v>319600</v>
      </c>
      <c r="G28" s="527">
        <f t="shared" si="13"/>
        <v>8000</v>
      </c>
      <c r="H28" s="532">
        <f t="shared" si="1"/>
        <v>476400</v>
      </c>
      <c r="I28" s="533"/>
      <c r="J28" s="472">
        <f t="shared" si="0"/>
        <v>475064.53096498275</v>
      </c>
      <c r="K28" s="472">
        <f t="shared" si="11"/>
        <v>285000</v>
      </c>
      <c r="L28" s="472">
        <f t="shared" si="11"/>
        <v>95000</v>
      </c>
      <c r="M28" s="472">
        <f t="shared" si="2"/>
        <v>95064.530964982754</v>
      </c>
      <c r="N28" s="472">
        <f t="shared" si="3"/>
        <v>0</v>
      </c>
      <c r="P28" s="472">
        <f t="shared" si="12"/>
        <v>350000</v>
      </c>
      <c r="Q28" s="472">
        <f t="shared" si="12"/>
        <v>92019.368421052641</v>
      </c>
      <c r="R28" s="472">
        <f t="shared" si="4"/>
        <v>33045.162543930113</v>
      </c>
      <c r="S28" s="472">
        <f t="shared" si="5"/>
        <v>0</v>
      </c>
      <c r="V28" s="534" t="s">
        <v>296</v>
      </c>
      <c r="W28" s="535" t="s">
        <v>297</v>
      </c>
    </row>
    <row r="29" spans="2:23" ht="15.75" customHeight="1" x14ac:dyDescent="0.25">
      <c r="B29" s="896"/>
      <c r="C29" s="384" t="s">
        <v>228</v>
      </c>
      <c r="D29" s="527">
        <f t="shared" si="13"/>
        <v>53900</v>
      </c>
      <c r="E29" s="527">
        <f t="shared" si="13"/>
        <v>94900</v>
      </c>
      <c r="F29" s="527">
        <f t="shared" si="13"/>
        <v>319600</v>
      </c>
      <c r="G29" s="527">
        <f t="shared" si="13"/>
        <v>8000</v>
      </c>
      <c r="H29" s="532">
        <f t="shared" si="1"/>
        <v>476400</v>
      </c>
      <c r="I29" s="533"/>
      <c r="J29" s="472">
        <f t="shared" si="0"/>
        <v>475064.53096498275</v>
      </c>
      <c r="K29" s="472">
        <f t="shared" si="11"/>
        <v>285000</v>
      </c>
      <c r="L29" s="472">
        <f t="shared" si="11"/>
        <v>95000</v>
      </c>
      <c r="M29" s="472">
        <f t="shared" si="2"/>
        <v>95064.530964982754</v>
      </c>
      <c r="N29" s="472">
        <f t="shared" si="3"/>
        <v>0</v>
      </c>
      <c r="P29" s="472">
        <f t="shared" si="12"/>
        <v>350000</v>
      </c>
      <c r="Q29" s="472">
        <f t="shared" si="12"/>
        <v>92019.368421052641</v>
      </c>
      <c r="R29" s="472">
        <f t="shared" si="4"/>
        <v>33045.162543930113</v>
      </c>
      <c r="S29" s="472">
        <f t="shared" si="5"/>
        <v>0</v>
      </c>
      <c r="V29" s="536" t="s">
        <v>298</v>
      </c>
      <c r="W29" s="537">
        <f>+M9</f>
        <v>95064.530964982754</v>
      </c>
    </row>
    <row r="30" spans="2:23" ht="15.75" customHeight="1" x14ac:dyDescent="0.25">
      <c r="B30" s="896"/>
      <c r="C30" s="384" t="s">
        <v>229</v>
      </c>
      <c r="D30" s="527">
        <f t="shared" si="13"/>
        <v>53900</v>
      </c>
      <c r="E30" s="527">
        <f t="shared" si="13"/>
        <v>94900</v>
      </c>
      <c r="F30" s="527">
        <f t="shared" si="13"/>
        <v>319600</v>
      </c>
      <c r="G30" s="527">
        <f t="shared" si="13"/>
        <v>8000</v>
      </c>
      <c r="H30" s="532">
        <f t="shared" si="1"/>
        <v>476400</v>
      </c>
      <c r="I30" s="533"/>
      <c r="J30" s="472">
        <f t="shared" si="0"/>
        <v>475064.53096498275</v>
      </c>
      <c r="K30" s="472">
        <f t="shared" si="11"/>
        <v>285000</v>
      </c>
      <c r="L30" s="472">
        <f t="shared" si="11"/>
        <v>95000</v>
      </c>
      <c r="M30" s="472">
        <f t="shared" si="2"/>
        <v>95064.530964982754</v>
      </c>
      <c r="N30" s="472">
        <f t="shared" si="3"/>
        <v>0</v>
      </c>
      <c r="P30" s="472">
        <f t="shared" si="12"/>
        <v>350000</v>
      </c>
      <c r="Q30" s="472">
        <f t="shared" si="12"/>
        <v>92019.368421052641</v>
      </c>
      <c r="R30" s="472">
        <f t="shared" si="4"/>
        <v>33045.162543930113</v>
      </c>
      <c r="S30" s="472">
        <f t="shared" si="5"/>
        <v>0</v>
      </c>
      <c r="V30" s="536" t="s">
        <v>300</v>
      </c>
      <c r="W30" s="537">
        <f>+M18</f>
        <v>5992.755261211365</v>
      </c>
    </row>
    <row r="31" spans="2:23" ht="15.75" customHeight="1" thickBot="1" x14ac:dyDescent="0.3">
      <c r="B31" s="896"/>
      <c r="C31" s="384" t="s">
        <v>230</v>
      </c>
      <c r="D31" s="527">
        <f t="shared" si="13"/>
        <v>53900</v>
      </c>
      <c r="E31" s="527">
        <f t="shared" si="13"/>
        <v>94900</v>
      </c>
      <c r="F31" s="527">
        <f t="shared" si="13"/>
        <v>319600</v>
      </c>
      <c r="G31" s="527">
        <f t="shared" si="13"/>
        <v>8000</v>
      </c>
      <c r="H31" s="532">
        <f t="shared" si="1"/>
        <v>476400</v>
      </c>
      <c r="I31" s="533"/>
      <c r="J31" s="472">
        <f t="shared" si="0"/>
        <v>475064.53096498275</v>
      </c>
      <c r="K31" s="472">
        <f t="shared" si="11"/>
        <v>285000</v>
      </c>
      <c r="L31" s="472">
        <f t="shared" si="11"/>
        <v>95000</v>
      </c>
      <c r="M31" s="472">
        <f t="shared" si="2"/>
        <v>95064.530964982754</v>
      </c>
      <c r="N31" s="472">
        <f t="shared" si="3"/>
        <v>0</v>
      </c>
      <c r="P31" s="472">
        <f t="shared" si="12"/>
        <v>350000</v>
      </c>
      <c r="Q31" s="472">
        <f t="shared" si="12"/>
        <v>92019.368421052641</v>
      </c>
      <c r="R31" s="472">
        <f t="shared" si="4"/>
        <v>33045.162543930113</v>
      </c>
      <c r="S31" s="472">
        <f t="shared" si="5"/>
        <v>0</v>
      </c>
      <c r="V31" s="542" t="s">
        <v>301</v>
      </c>
      <c r="W31" s="543">
        <f>+M24</f>
        <v>95064.530964982754</v>
      </c>
    </row>
    <row r="32" spans="2:23" ht="16.5" customHeight="1" thickTop="1" thickBot="1" x14ac:dyDescent="0.3">
      <c r="B32" s="897"/>
      <c r="C32" s="386" t="s">
        <v>231</v>
      </c>
      <c r="D32" s="527">
        <f t="shared" si="13"/>
        <v>53900</v>
      </c>
      <c r="E32" s="527">
        <f t="shared" si="13"/>
        <v>94900</v>
      </c>
      <c r="F32" s="527">
        <f t="shared" si="13"/>
        <v>319600</v>
      </c>
      <c r="G32" s="527">
        <f t="shared" si="13"/>
        <v>8000</v>
      </c>
      <c r="H32" s="547">
        <f t="shared" si="1"/>
        <v>476400</v>
      </c>
      <c r="I32" s="548"/>
      <c r="J32" s="472">
        <f t="shared" si="0"/>
        <v>475064.53096498275</v>
      </c>
      <c r="K32" s="472">
        <f t="shared" si="11"/>
        <v>285000</v>
      </c>
      <c r="L32" s="472">
        <f t="shared" si="11"/>
        <v>95000</v>
      </c>
      <c r="M32" s="472">
        <f t="shared" si="2"/>
        <v>95064.530964982754</v>
      </c>
      <c r="N32" s="472">
        <f t="shared" si="3"/>
        <v>0</v>
      </c>
      <c r="P32" s="472">
        <f t="shared" si="12"/>
        <v>350000</v>
      </c>
      <c r="Q32" s="472">
        <f t="shared" si="12"/>
        <v>92019.368421052641</v>
      </c>
      <c r="R32" s="472">
        <f t="shared" si="4"/>
        <v>33045.162543930113</v>
      </c>
      <c r="S32" s="472">
        <f t="shared" si="5"/>
        <v>0</v>
      </c>
      <c r="V32" s="544" t="s">
        <v>302</v>
      </c>
      <c r="W32" s="545">
        <f>+M8</f>
        <v>76452</v>
      </c>
    </row>
    <row r="33" spans="2:19" ht="15.75" customHeight="1" thickBot="1" x14ac:dyDescent="0.3">
      <c r="B33" s="387" t="s">
        <v>130</v>
      </c>
      <c r="C33" s="388"/>
      <c r="D33" s="389">
        <f>AVERAGE(D9:D32)</f>
        <v>53900</v>
      </c>
      <c r="E33" s="389">
        <f>AVERAGE(E9:E32)</f>
        <v>85525</v>
      </c>
      <c r="F33" s="389">
        <f>AVERAGE(F9:F32)</f>
        <v>288975</v>
      </c>
      <c r="G33" s="389">
        <f>AVERAGE(G9:G32)</f>
        <v>8000</v>
      </c>
      <c r="H33" s="549">
        <f>AVERAGE(H9:H32)</f>
        <v>436400</v>
      </c>
      <c r="I33" s="390"/>
      <c r="J33" s="550">
        <f>AVERAGE(J9:J32)</f>
        <v>435176.6610266972</v>
      </c>
      <c r="K33" s="550">
        <f>AVERAGE(K9:K32)</f>
        <v>269369.79166666669</v>
      </c>
      <c r="L33" s="550">
        <f>AVERAGE(L9:L32)</f>
        <v>89298.958333333328</v>
      </c>
      <c r="M33" s="550">
        <f>AVERAGE(M9:M32)</f>
        <v>76507.911026697038</v>
      </c>
      <c r="N33" s="550">
        <f>AVERAGE(N9:N32)</f>
        <v>0</v>
      </c>
      <c r="P33" s="550">
        <f>AVERAGE(P9:P32)</f>
        <v>334083.90734608559</v>
      </c>
      <c r="Q33" s="550">
        <f>AVERAGE(Q9:Q32)</f>
        <v>74931.999999999985</v>
      </c>
      <c r="R33" s="550">
        <f>AVERAGE(R9:R32)</f>
        <v>26160.753680611426</v>
      </c>
      <c r="S33" s="550">
        <f>AVERAGE(S9:S32)</f>
        <v>0</v>
      </c>
    </row>
    <row r="34" spans="2:19" ht="15.75" x14ac:dyDescent="0.25">
      <c r="B34" s="391"/>
      <c r="C34" s="392"/>
      <c r="D34" s="551">
        <f xml:space="preserve"> (1-D33/D32)*100</f>
        <v>0</v>
      </c>
      <c r="E34" s="551">
        <f xml:space="preserve"> (1-E33/E32)*100</f>
        <v>9.8788198103266556</v>
      </c>
      <c r="F34" s="551">
        <f xml:space="preserve"> (1-F33/F32)*100</f>
        <v>9.5822903629536942</v>
      </c>
      <c r="G34" s="551">
        <f xml:space="preserve"> (1-G33/G32)*100</f>
        <v>0</v>
      </c>
      <c r="H34" s="395"/>
      <c r="I34" s="396"/>
      <c r="K34" s="552">
        <f>K33-K8</f>
        <v>-0.20833333331393078</v>
      </c>
      <c r="L34" s="552">
        <f>L33-L8</f>
        <v>-4.1666666671517305E-2</v>
      </c>
      <c r="M34" s="552">
        <f>M33-M8</f>
        <v>55.911026697038324</v>
      </c>
      <c r="N34" s="552">
        <f>N33-N8</f>
        <v>0</v>
      </c>
      <c r="P34" s="552">
        <f>P33-P8</f>
        <v>0</v>
      </c>
      <c r="Q34" s="552">
        <f>Q33-Q8</f>
        <v>0</v>
      </c>
      <c r="R34" s="552">
        <f>R33-R8</f>
        <v>0</v>
      </c>
      <c r="S34" s="552">
        <f>S33-S8</f>
        <v>0</v>
      </c>
    </row>
    <row r="35" spans="2:19" ht="15.75" x14ac:dyDescent="0.25">
      <c r="B35" s="397"/>
      <c r="C35" s="397"/>
      <c r="D35" s="397"/>
      <c r="E35" s="396"/>
      <c r="F35" s="397"/>
      <c r="G35" s="397"/>
      <c r="H35" s="397"/>
      <c r="I35" s="397"/>
      <c r="P35">
        <v>-6000</v>
      </c>
      <c r="R35">
        <v>26000</v>
      </c>
    </row>
    <row r="36" spans="2:19" x14ac:dyDescent="0.25">
      <c r="B36" s="397"/>
      <c r="C36" s="397"/>
      <c r="D36" s="397"/>
      <c r="E36" s="397"/>
      <c r="F36" s="397"/>
      <c r="G36" s="397"/>
      <c r="H36" s="397"/>
      <c r="I36" s="397"/>
      <c r="P36" s="553">
        <v>-14026.759320581099</v>
      </c>
      <c r="R36">
        <v>34000</v>
      </c>
    </row>
    <row r="37" spans="2:19" x14ac:dyDescent="0.25">
      <c r="B37" s="397"/>
      <c r="C37" s="397"/>
      <c r="D37" s="398"/>
      <c r="E37" s="398"/>
      <c r="F37" s="398"/>
      <c r="G37" s="398"/>
      <c r="H37" s="397"/>
      <c r="I37" s="397"/>
    </row>
    <row r="38" spans="2:19" x14ac:dyDescent="0.25">
      <c r="B38" s="397"/>
      <c r="C38" s="397"/>
      <c r="D38" s="397"/>
      <c r="E38" s="397"/>
      <c r="F38" s="397"/>
      <c r="G38" s="397"/>
      <c r="H38" s="397"/>
      <c r="I38" s="397"/>
    </row>
    <row r="39" spans="2:19" x14ac:dyDescent="0.25">
      <c r="B39" s="397"/>
      <c r="C39" s="397"/>
      <c r="D39" s="397"/>
      <c r="E39" s="397"/>
      <c r="F39" s="397"/>
      <c r="G39" s="397"/>
      <c r="H39" s="397"/>
      <c r="I39" s="397"/>
    </row>
    <row r="40" spans="2:19" x14ac:dyDescent="0.25">
      <c r="B40" s="397"/>
      <c r="C40" s="397"/>
      <c r="D40" s="397"/>
      <c r="E40" s="397"/>
      <c r="F40" s="397"/>
      <c r="G40" s="397"/>
      <c r="H40" s="397"/>
      <c r="I40" s="397"/>
    </row>
    <row r="41" spans="2:19" x14ac:dyDescent="0.25">
      <c r="B41" s="397"/>
      <c r="C41" s="397"/>
      <c r="D41" s="397"/>
      <c r="E41" s="397"/>
      <c r="F41" s="397"/>
      <c r="G41" s="397"/>
      <c r="H41" s="397"/>
      <c r="I41" s="397"/>
    </row>
  </sheetData>
  <mergeCells count="16">
    <mergeCell ref="A1:B3"/>
    <mergeCell ref="C1:I1"/>
    <mergeCell ref="C2:I2"/>
    <mergeCell ref="A4:I4"/>
    <mergeCell ref="A5:I5"/>
    <mergeCell ref="G7:G8"/>
    <mergeCell ref="H7:H8"/>
    <mergeCell ref="I7:I8"/>
    <mergeCell ref="J7:J8"/>
    <mergeCell ref="B9:B32"/>
    <mergeCell ref="I16:I20"/>
    <mergeCell ref="B7:B8"/>
    <mergeCell ref="C7:C8"/>
    <mergeCell ref="D7:D8"/>
    <mergeCell ref="E7:E8"/>
    <mergeCell ref="F7:F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00B0F0"/>
  </sheetPr>
  <dimension ref="A1:AU173"/>
  <sheetViews>
    <sheetView topLeftCell="S7" zoomScale="90" zoomScaleNormal="90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208531</v>
      </c>
      <c r="M2" s="29"/>
      <c r="N2" s="798">
        <f>SUM(K2:K26)</f>
        <v>222553</v>
      </c>
      <c r="O2" s="30">
        <f>+K2/$N$2</f>
        <v>1.3479935116578972E-2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208531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515" t="s">
        <v>31</v>
      </c>
      <c r="AE2" s="515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27" si="1">+L2-K3</f>
        <v>207431</v>
      </c>
      <c r="M3" s="29"/>
      <c r="N3" s="799"/>
      <c r="O3" s="30">
        <f t="shared" ref="O3:O29" si="2">+K3/$N$2</f>
        <v>4.9426428760789565E-3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207431</v>
      </c>
      <c r="X3" s="32">
        <f t="shared" ref="X3:X56" si="9">W3-L3</f>
        <v>0</v>
      </c>
      <c r="Y3" s="37" t="s">
        <v>34</v>
      </c>
      <c r="Z3" s="38">
        <f>ROUND((Z13*57%),0)</f>
        <v>281181</v>
      </c>
      <c r="AA3" s="39">
        <f>ROUND((+Z14*0.57),0)</f>
        <v>280401</v>
      </c>
      <c r="AB3" s="454">
        <v>79803</v>
      </c>
      <c r="AC3" s="455">
        <v>164870</v>
      </c>
      <c r="AD3" s="40">
        <f>AA3-AB3-AC3+72</f>
        <v>35800</v>
      </c>
      <c r="AE3" s="41">
        <f>SUM(AB3:AD3)</f>
        <v>280473</v>
      </c>
      <c r="AF3" s="41">
        <f>AA3-AE3</f>
        <v>-72</v>
      </c>
      <c r="AG3" s="42">
        <f>AA3-AB3-AC3-AD3</f>
        <v>-72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185031</v>
      </c>
      <c r="M4" s="29"/>
      <c r="N4" s="799"/>
      <c r="O4" s="30">
        <f t="shared" si="2"/>
        <v>0.10065018220378966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185031</v>
      </c>
      <c r="X4" s="32">
        <f t="shared" si="9"/>
        <v>0</v>
      </c>
      <c r="Y4" s="37" t="s">
        <v>38</v>
      </c>
      <c r="Z4" s="38">
        <f>ROUND((Z13*43%),0)</f>
        <v>212119</v>
      </c>
      <c r="AA4" s="39">
        <f>ROUND((+Z14*0.43),0)</f>
        <v>211531</v>
      </c>
      <c r="AB4" s="43">
        <f>T105</f>
        <v>43654</v>
      </c>
      <c r="AC4" s="43">
        <f>S105</f>
        <v>167877</v>
      </c>
      <c r="AD4" s="40">
        <f>U105</f>
        <v>0</v>
      </c>
      <c r="AE4" s="41">
        <f>SUM(AB4:AD4)</f>
        <v>211531</v>
      </c>
      <c r="AF4" s="41">
        <f>AA4-AE4</f>
        <v>0</v>
      </c>
      <c r="AG4" s="42">
        <f>AA4-AB4-AC4-AD4</f>
        <v>0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183831</v>
      </c>
      <c r="M5" s="29"/>
      <c r="N5" s="799"/>
      <c r="O5" s="30">
        <f t="shared" si="2"/>
        <v>5.3919740466315891E-3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183831</v>
      </c>
      <c r="X5" s="32">
        <f t="shared" si="9"/>
        <v>0</v>
      </c>
      <c r="Y5" s="44" t="s">
        <v>41</v>
      </c>
      <c r="Z5" s="38">
        <f>SUM(Z3:Z4)</f>
        <v>493300</v>
      </c>
      <c r="AA5" s="45">
        <f>SUM(AA3:AA4)</f>
        <v>491932</v>
      </c>
      <c r="AB5" s="46">
        <f>SUM(AB3:AB4)</f>
        <v>123457</v>
      </c>
      <c r="AC5" s="41">
        <f>SUM(AC3:AC4)</f>
        <v>332747</v>
      </c>
      <c r="AD5" s="40">
        <f>SUM(AD3:AD4)</f>
        <v>35800</v>
      </c>
      <c r="AE5" s="41">
        <f>SUM(AB5:AD5)</f>
        <v>492004</v>
      </c>
      <c r="AF5" s="47">
        <f>SUM(AF3:AF4)</f>
        <v>-72</v>
      </c>
      <c r="AG5" s="47">
        <f>SUM(AG3:AG4)</f>
        <v>-72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171831</v>
      </c>
      <c r="M6" s="29"/>
      <c r="N6" s="799"/>
      <c r="O6" s="30">
        <f t="shared" si="2"/>
        <v>5.3919740466315889E-2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171831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v>130500</v>
      </c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12370+1796</f>
        <v>14166</v>
      </c>
      <c r="I7" s="518">
        <f>2430+604+800</f>
        <v>3834</v>
      </c>
      <c r="J7" s="26"/>
      <c r="K7" s="27">
        <f t="shared" si="0"/>
        <v>18000</v>
      </c>
      <c r="L7" s="28">
        <f t="shared" si="1"/>
        <v>153831</v>
      </c>
      <c r="M7" s="29"/>
      <c r="N7" s="799"/>
      <c r="O7" s="30">
        <f t="shared" si="2"/>
        <v>8.0879610699473831E-2</v>
      </c>
      <c r="P7" s="802"/>
      <c r="Q7" s="31">
        <f t="shared" si="3"/>
        <v>0</v>
      </c>
      <c r="R7" s="31"/>
      <c r="S7" s="28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153831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151331</v>
      </c>
      <c r="M8" s="29"/>
      <c r="N8" s="799"/>
      <c r="O8" s="30">
        <f t="shared" si="2"/>
        <v>1.123327926381581E-2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151331</v>
      </c>
      <c r="X8" s="32">
        <f t="shared" si="9"/>
        <v>0</v>
      </c>
      <c r="Y8" s="14" t="s">
        <v>47</v>
      </c>
      <c r="Z8" s="54">
        <v>41913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782</v>
      </c>
      <c r="I9" s="518">
        <v>1418</v>
      </c>
      <c r="J9" s="26"/>
      <c r="K9" s="27">
        <f t="shared" si="0"/>
        <v>2200</v>
      </c>
      <c r="L9" s="28">
        <f t="shared" si="1"/>
        <v>149131</v>
      </c>
      <c r="M9" s="29"/>
      <c r="N9" s="799"/>
      <c r="O9" s="30">
        <f t="shared" si="2"/>
        <v>9.8852857521579129E-3</v>
      </c>
      <c r="P9" s="802"/>
      <c r="Q9" s="31">
        <f t="shared" si="3"/>
        <v>0</v>
      </c>
      <c r="R9" s="31"/>
      <c r="S9" s="28">
        <f t="shared" si="4"/>
        <v>782</v>
      </c>
      <c r="T9" s="28">
        <f t="shared" si="5"/>
        <v>1418</v>
      </c>
      <c r="U9" s="28">
        <f t="shared" si="6"/>
        <v>0</v>
      </c>
      <c r="V9" s="28">
        <f t="shared" si="7"/>
        <v>2200</v>
      </c>
      <c r="W9" s="31">
        <f t="shared" si="8"/>
        <v>149131</v>
      </c>
      <c r="X9" s="32">
        <f t="shared" si="9"/>
        <v>0</v>
      </c>
      <c r="Y9" s="14" t="s">
        <v>189</v>
      </c>
      <c r="Z9" s="58">
        <f>493300-AB9</f>
        <v>493300</v>
      </c>
      <c r="AA9" s="59">
        <f>Z9*14.65/14.73</f>
        <v>490620.84181941615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-134200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26"/>
      <c r="J10" s="26"/>
      <c r="K10" s="27">
        <f t="shared" si="0"/>
        <v>20000</v>
      </c>
      <c r="L10" s="28">
        <f t="shared" si="1"/>
        <v>129131</v>
      </c>
      <c r="M10" s="29"/>
      <c r="N10" s="799"/>
      <c r="O10" s="30">
        <f t="shared" si="2"/>
        <v>8.986623411052648E-2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129131</v>
      </c>
      <c r="X10" s="32">
        <f t="shared" si="9"/>
        <v>0</v>
      </c>
      <c r="Y10" s="14" t="s">
        <v>191</v>
      </c>
      <c r="Z10" s="58">
        <f>ROUND((Z9*Z30),0)</f>
        <v>491932</v>
      </c>
      <c r="AA10" s="59">
        <f>Z10*14.65/14.73</f>
        <v>489260.27155465033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111131</v>
      </c>
      <c r="M11" s="29"/>
      <c r="N11" s="799"/>
      <c r="O11" s="30">
        <f t="shared" si="2"/>
        <v>8.0879610699473831E-2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111131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-61099.999999999985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107531</v>
      </c>
      <c r="M12" s="29"/>
      <c r="N12" s="799"/>
      <c r="O12" s="30">
        <f t="shared" si="2"/>
        <v>1.6175922139894768E-2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107531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5824</v>
      </c>
      <c r="AU12" s="434">
        <f t="shared" si="10"/>
        <v>-176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1"/>
        <v>101531</v>
      </c>
      <c r="M13" s="29"/>
      <c r="N13" s="799"/>
      <c r="O13" s="30">
        <f t="shared" si="2"/>
        <v>2.6959870233157945E-2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101531</v>
      </c>
      <c r="X13" s="32">
        <f t="shared" si="9"/>
        <v>0</v>
      </c>
      <c r="Y13" s="14" t="s">
        <v>67</v>
      </c>
      <c r="Z13" s="67">
        <f>Z14/Z30</f>
        <v>493300.37285335868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176</v>
      </c>
      <c r="AU13" s="434">
        <f t="shared" si="10"/>
        <v>-1324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13453</v>
      </c>
      <c r="I14" s="26">
        <v>0</v>
      </c>
      <c r="J14" s="26"/>
      <c r="K14" s="27">
        <f t="shared" si="0"/>
        <v>13453</v>
      </c>
      <c r="L14" s="28">
        <f t="shared" si="1"/>
        <v>88078</v>
      </c>
      <c r="M14" s="29"/>
      <c r="N14" s="799"/>
      <c r="O14" s="30">
        <f t="shared" si="2"/>
        <v>6.0448522374445639E-2</v>
      </c>
      <c r="P14" s="802"/>
      <c r="Q14" s="31">
        <f t="shared" si="3"/>
        <v>0</v>
      </c>
      <c r="R14" s="31">
        <v>0</v>
      </c>
      <c r="S14" s="28">
        <f t="shared" si="4"/>
        <v>13453</v>
      </c>
      <c r="T14" s="28">
        <f t="shared" si="5"/>
        <v>0</v>
      </c>
      <c r="U14" s="28">
        <f t="shared" si="6"/>
        <v>0</v>
      </c>
      <c r="V14" s="28">
        <f t="shared" si="7"/>
        <v>13453</v>
      </c>
      <c r="W14" s="31">
        <f t="shared" si="8"/>
        <v>88078</v>
      </c>
      <c r="X14" s="32">
        <f t="shared" si="9"/>
        <v>0</v>
      </c>
      <c r="Y14" s="14" t="s">
        <v>70</v>
      </c>
      <c r="Z14" s="67">
        <f>+Z10-(Z11+Z12)</f>
        <v>491932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70878</v>
      </c>
      <c r="M15" s="29"/>
      <c r="N15" s="799"/>
      <c r="O15" s="30">
        <f t="shared" si="2"/>
        <v>7.7284961335052776E-2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70878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50378</v>
      </c>
      <c r="M16" s="29"/>
      <c r="N16" s="799"/>
      <c r="O16" s="30">
        <f t="shared" si="2"/>
        <v>9.2112889963289646E-2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50378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5500</v>
      </c>
      <c r="I17" s="26">
        <v>0</v>
      </c>
      <c r="J17" s="26"/>
      <c r="K17" s="27">
        <f t="shared" si="0"/>
        <v>5500</v>
      </c>
      <c r="L17" s="28">
        <f t="shared" si="1"/>
        <v>44878</v>
      </c>
      <c r="M17" s="29"/>
      <c r="N17" s="799"/>
      <c r="O17" s="30">
        <f t="shared" si="2"/>
        <v>2.4713214380394782E-2</v>
      </c>
      <c r="P17" s="802"/>
      <c r="Q17" s="31">
        <f t="shared" si="3"/>
        <v>0</v>
      </c>
      <c r="R17" s="31">
        <v>0</v>
      </c>
      <c r="S17" s="28">
        <f t="shared" si="4"/>
        <v>5500</v>
      </c>
      <c r="T17" s="28">
        <f t="shared" si="5"/>
        <v>0</v>
      </c>
      <c r="U17" s="28">
        <f t="shared" si="6"/>
        <v>0</v>
      </c>
      <c r="V17" s="28">
        <f t="shared" si="7"/>
        <v>5500</v>
      </c>
      <c r="W17" s="31">
        <f t="shared" si="8"/>
        <v>44878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45</v>
      </c>
      <c r="H18" s="26"/>
      <c r="I18" s="518">
        <v>324</v>
      </c>
      <c r="J18" s="26"/>
      <c r="K18" s="27">
        <f t="shared" si="0"/>
        <v>324</v>
      </c>
      <c r="L18" s="28">
        <f t="shared" si="1"/>
        <v>44554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324</v>
      </c>
      <c r="U18" s="28">
        <f t="shared" si="6"/>
        <v>0</v>
      </c>
      <c r="V18" s="28">
        <f t="shared" si="7"/>
        <v>324</v>
      </c>
      <c r="W18" s="31">
        <f t="shared" si="8"/>
        <v>44554</v>
      </c>
      <c r="X18" s="32"/>
      <c r="Y18" s="14" t="s">
        <v>77</v>
      </c>
      <c r="Z18" s="71">
        <f>ROUND(Z14*0.43,0)</f>
        <v>211531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176</v>
      </c>
      <c r="I19" s="26"/>
      <c r="J19" s="26"/>
      <c r="K19" s="27">
        <f t="shared" si="0"/>
        <v>176</v>
      </c>
      <c r="L19" s="28">
        <f t="shared" si="1"/>
        <v>44378</v>
      </c>
      <c r="M19" s="29"/>
      <c r="N19" s="799"/>
      <c r="O19" s="30">
        <f t="shared" si="2"/>
        <v>7.9082286017263304E-4</v>
      </c>
      <c r="P19" s="802"/>
      <c r="Q19" s="31">
        <f t="shared" si="3"/>
        <v>0</v>
      </c>
      <c r="R19" s="31">
        <v>0</v>
      </c>
      <c r="S19" s="28">
        <f t="shared" si="4"/>
        <v>176</v>
      </c>
      <c r="T19" s="28">
        <f t="shared" si="5"/>
        <v>0</v>
      </c>
      <c r="U19" s="28">
        <f t="shared" si="6"/>
        <v>0</v>
      </c>
      <c r="V19" s="28">
        <f t="shared" si="7"/>
        <v>176</v>
      </c>
      <c r="W19" s="31">
        <f t="shared" si="8"/>
        <v>44378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42878</v>
      </c>
      <c r="M20" s="29"/>
      <c r="N20" s="799"/>
      <c r="O20" s="30">
        <f t="shared" si="2"/>
        <v>6.7399675582894862E-3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42878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/>
      <c r="I21" s="26">
        <v>0</v>
      </c>
      <c r="J21" s="26"/>
      <c r="K21" s="27">
        <f t="shared" si="0"/>
        <v>0</v>
      </c>
      <c r="L21" s="28">
        <f t="shared" si="1"/>
        <v>42878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42878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35378</v>
      </c>
      <c r="M22" s="29"/>
      <c r="N22" s="799"/>
      <c r="O22" s="30">
        <f t="shared" si="2"/>
        <v>3.3699837791447432E-2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35378</v>
      </c>
      <c r="X22" s="32">
        <f t="shared" si="9"/>
        <v>0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35378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35378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35378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35378</v>
      </c>
      <c r="X24" s="32">
        <f t="shared" si="9"/>
        <v>0</v>
      </c>
      <c r="Y24" s="74" t="s">
        <v>169</v>
      </c>
      <c r="Z24" s="75">
        <f>+Z18+Z19</f>
        <v>211531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23378</v>
      </c>
      <c r="M25" s="29"/>
      <c r="N25" s="799"/>
      <c r="O25" s="30">
        <f t="shared" si="2"/>
        <v>5.3919740466315889E-2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59" si="11">+W24-V25</f>
        <v>23378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-11022</v>
      </c>
      <c r="M26" s="86"/>
      <c r="N26" s="800"/>
      <c r="O26" s="87">
        <f t="shared" si="2"/>
        <v>0.15456992267010555</v>
      </c>
      <c r="P26" s="803"/>
      <c r="Q26" s="144">
        <f t="shared" si="3"/>
        <v>0</v>
      </c>
      <c r="R26" s="144">
        <v>-34400</v>
      </c>
      <c r="S26" s="423">
        <f t="shared" si="4"/>
        <v>0</v>
      </c>
      <c r="T26" s="423">
        <f t="shared" si="5"/>
        <v>0</v>
      </c>
      <c r="U26" s="423">
        <f t="shared" si="6"/>
        <v>0</v>
      </c>
      <c r="V26" s="423">
        <f t="shared" si="7"/>
        <v>0</v>
      </c>
      <c r="W26" s="31">
        <f t="shared" si="11"/>
        <v>23378</v>
      </c>
      <c r="X26" s="32">
        <f t="shared" si="9"/>
        <v>34400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-11022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1"/>
        <v>23378</v>
      </c>
      <c r="X27" s="32">
        <f t="shared" si="9"/>
        <v>34400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ref="L28:L67" si="12">+L27-K28</f>
        <v>-11022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23378</v>
      </c>
      <c r="X28" s="32">
        <f t="shared" si="9"/>
        <v>34400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2"/>
        <v>-11022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23378</v>
      </c>
      <c r="X29" s="32">
        <f t="shared" si="9"/>
        <v>34400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2"/>
        <v>-11022</v>
      </c>
      <c r="M30" s="29"/>
      <c r="N30" s="799"/>
      <c r="O30" s="30">
        <f t="shared" ref="O30:O56" si="13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23378</v>
      </c>
      <c r="X30" s="32">
        <f t="shared" si="9"/>
        <v>34400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2"/>
        <v>-11022</v>
      </c>
      <c r="M31" s="29"/>
      <c r="N31" s="799"/>
      <c r="O31" s="30">
        <f t="shared" si="13"/>
        <v>0</v>
      </c>
      <c r="P31" s="802"/>
      <c r="Q31" s="31">
        <f t="shared" ref="Q31:Q57" si="14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23378</v>
      </c>
      <c r="X31" s="32">
        <f t="shared" si="9"/>
        <v>34400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2"/>
        <v>-11022</v>
      </c>
      <c r="M32" s="29"/>
      <c r="N32" s="799"/>
      <c r="O32" s="30">
        <f t="shared" si="13"/>
        <v>0</v>
      </c>
      <c r="P32" s="802"/>
      <c r="Q32" s="31">
        <f t="shared" si="14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23378</v>
      </c>
      <c r="X32" s="32">
        <f t="shared" si="9"/>
        <v>34400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2"/>
        <v>-11022</v>
      </c>
      <c r="M33" s="29"/>
      <c r="N33" s="799"/>
      <c r="O33" s="30">
        <f t="shared" si="13"/>
        <v>0</v>
      </c>
      <c r="P33" s="802"/>
      <c r="Q33" s="31">
        <f t="shared" si="14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23378</v>
      </c>
      <c r="X33" s="32">
        <f t="shared" si="9"/>
        <v>34400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2"/>
        <v>-11022</v>
      </c>
      <c r="M34" s="29"/>
      <c r="N34" s="799"/>
      <c r="O34" s="30">
        <f t="shared" si="13"/>
        <v>0</v>
      </c>
      <c r="P34" s="802"/>
      <c r="Q34" s="31">
        <f t="shared" si="14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23378</v>
      </c>
      <c r="X34" s="32">
        <f t="shared" si="9"/>
        <v>34400</v>
      </c>
      <c r="Y34" s="806"/>
      <c r="Z34" s="112">
        <v>100000</v>
      </c>
      <c r="AA34" s="113">
        <f>AD5-Z34</f>
        <v>-64200</v>
      </c>
      <c r="AB34" s="113">
        <f>Z34+AA34</f>
        <v>35800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2"/>
        <v>-11022</v>
      </c>
      <c r="M35" s="29"/>
      <c r="N35" s="799"/>
      <c r="O35" s="30">
        <f t="shared" si="13"/>
        <v>0</v>
      </c>
      <c r="P35" s="802"/>
      <c r="Q35" s="31">
        <f t="shared" si="14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23378</v>
      </c>
      <c r="X35" s="32">
        <f>W35-L35</f>
        <v>34400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2"/>
        <v>-11022</v>
      </c>
      <c r="M36" s="29"/>
      <c r="N36" s="799"/>
      <c r="O36" s="30">
        <f t="shared" si="13"/>
        <v>0</v>
      </c>
      <c r="P36" s="802"/>
      <c r="Q36" s="31">
        <f t="shared" si="14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23378</v>
      </c>
      <c r="X36" s="32">
        <f t="shared" si="9"/>
        <v>34400</v>
      </c>
      <c r="Y36" s="117" t="s">
        <v>60</v>
      </c>
      <c r="Z36" s="113">
        <f>Z34*57%</f>
        <v>56999.999999999993</v>
      </c>
      <c r="AA36" s="113">
        <f>AD3-Z36</f>
        <v>-21199.999999999993</v>
      </c>
      <c r="AB36" s="113">
        <f>Z36+AA36</f>
        <v>35800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2"/>
        <v>-11022</v>
      </c>
      <c r="M37" s="29"/>
      <c r="N37" s="799"/>
      <c r="O37" s="30">
        <f t="shared" si="13"/>
        <v>0</v>
      </c>
      <c r="P37" s="802"/>
      <c r="Q37" s="31">
        <f t="shared" si="14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23378</v>
      </c>
      <c r="X37" s="32">
        <f t="shared" si="9"/>
        <v>34400</v>
      </c>
      <c r="Y37" s="117" t="s">
        <v>94</v>
      </c>
      <c r="Z37" s="113">
        <f>+Z35+Z36</f>
        <v>100000</v>
      </c>
      <c r="AA37" s="113">
        <f>SUM(AA35:AA36)</f>
        <v>-64199.999999999993</v>
      </c>
      <c r="AB37" s="113">
        <f>Z37+AA37</f>
        <v>35800.000000000007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0</v>
      </c>
      <c r="I38" s="26"/>
      <c r="J38" s="26"/>
      <c r="K38" s="27">
        <f t="shared" si="0"/>
        <v>0</v>
      </c>
      <c r="L38" s="28">
        <f>+L37-K38</f>
        <v>-11022</v>
      </c>
      <c r="M38" s="29"/>
      <c r="N38" s="799"/>
      <c r="O38" s="30">
        <f t="shared" si="13"/>
        <v>0</v>
      </c>
      <c r="P38" s="802"/>
      <c r="Q38" s="31">
        <f t="shared" si="14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23378</v>
      </c>
      <c r="X38" s="32">
        <f t="shared" si="9"/>
        <v>34400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-11022</v>
      </c>
      <c r="M39" s="29"/>
      <c r="N39" s="799"/>
      <c r="O39" s="30">
        <f t="shared" si="13"/>
        <v>0</v>
      </c>
      <c r="P39" s="802"/>
      <c r="Q39" s="31">
        <f t="shared" si="14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23378</v>
      </c>
      <c r="X39" s="32">
        <f t="shared" si="9"/>
        <v>34400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2"/>
        <v>-11022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23378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2"/>
        <v>-11022</v>
      </c>
      <c r="M41" s="29"/>
      <c r="N41" s="799"/>
      <c r="O41" s="30">
        <f t="shared" si="13"/>
        <v>0</v>
      </c>
      <c r="P41" s="802"/>
      <c r="Q41" s="31">
        <f t="shared" si="14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23378</v>
      </c>
      <c r="X41" s="32">
        <f t="shared" si="9"/>
        <v>34400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2"/>
        <v>-11022</v>
      </c>
      <c r="M42" s="29"/>
      <c r="N42" s="799"/>
      <c r="O42" s="30">
        <f t="shared" si="13"/>
        <v>0</v>
      </c>
      <c r="P42" s="802"/>
      <c r="Q42" s="31">
        <f t="shared" si="14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23378</v>
      </c>
      <c r="X42" s="32">
        <f t="shared" si="9"/>
        <v>34400</v>
      </c>
      <c r="Y42" s="74" t="s">
        <v>96</v>
      </c>
      <c r="Z42" s="75">
        <v>35500</v>
      </c>
      <c r="AA42" s="129">
        <f>+H7+H8+H17+H18+H19+H22+H32+H33+H43+H44+H45+H53</f>
        <v>29842</v>
      </c>
      <c r="AB42" s="129">
        <f>+I7+I8+I17+I18+I19+I22+I32+I33+I43+I44+I45+I53</f>
        <v>4158</v>
      </c>
      <c r="AC42" s="130">
        <f>+AA42+AB42</f>
        <v>34000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2"/>
        <v>-11022</v>
      </c>
      <c r="M43" s="29"/>
      <c r="N43" s="799"/>
      <c r="O43" s="30">
        <f t="shared" si="13"/>
        <v>0</v>
      </c>
      <c r="P43" s="802"/>
      <c r="Q43" s="31">
        <f t="shared" si="14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23378</v>
      </c>
      <c r="X43" s="32">
        <f t="shared" si="9"/>
        <v>34400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2"/>
        <v>-11022</v>
      </c>
      <c r="M44" s="29"/>
      <c r="N44" s="799"/>
      <c r="O44" s="30">
        <f t="shared" si="13"/>
        <v>0</v>
      </c>
      <c r="P44" s="802"/>
      <c r="Q44" s="31">
        <f t="shared" si="14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23378</v>
      </c>
      <c r="X44" s="32">
        <f t="shared" si="9"/>
        <v>34400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2"/>
        <v>-11022</v>
      </c>
      <c r="M45" s="29"/>
      <c r="N45" s="799"/>
      <c r="O45" s="30">
        <f t="shared" si="13"/>
        <v>0</v>
      </c>
      <c r="P45" s="802"/>
      <c r="Q45" s="31">
        <f t="shared" si="14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23378</v>
      </c>
      <c r="X45" s="32">
        <f t="shared" si="9"/>
        <v>34400</v>
      </c>
      <c r="Y45" s="131" t="s">
        <v>98</v>
      </c>
      <c r="Z45" s="132">
        <v>9600</v>
      </c>
      <c r="AA45" s="133">
        <f>+H12+H13+H37+H38</f>
        <v>9600</v>
      </c>
      <c r="AB45" s="133">
        <f>+I12+I13+I37+I38</f>
        <v>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-21022</v>
      </c>
      <c r="M46" s="29"/>
      <c r="N46" s="799"/>
      <c r="O46" s="30">
        <f t="shared" si="13"/>
        <v>1</v>
      </c>
      <c r="P46" s="802"/>
      <c r="Q46" s="31">
        <f t="shared" si="14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11"/>
        <v>13378</v>
      </c>
      <c r="X46" s="32">
        <f t="shared" si="9"/>
        <v>34400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2"/>
        <v>-21022</v>
      </c>
      <c r="M47" s="29"/>
      <c r="N47" s="799"/>
      <c r="O47" s="30">
        <f t="shared" si="13"/>
        <v>0</v>
      </c>
      <c r="P47" s="802"/>
      <c r="Q47" s="31">
        <f t="shared" si="14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13378</v>
      </c>
      <c r="X47" s="32">
        <f t="shared" si="9"/>
        <v>34400</v>
      </c>
      <c r="Y47" s="57">
        <v>20000</v>
      </c>
      <c r="Z47" s="89">
        <v>4586</v>
      </c>
      <c r="AA47" s="35"/>
      <c r="AB47" s="57">
        <f>57000-AA60</f>
        <v>21200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2"/>
        <v>-21022</v>
      </c>
      <c r="M48" s="136"/>
      <c r="N48" s="799"/>
      <c r="O48" s="137"/>
      <c r="P48" s="802"/>
      <c r="Q48" s="31">
        <f t="shared" si="14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13378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2"/>
        <v>-21022</v>
      </c>
      <c r="M49" s="86"/>
      <c r="N49" s="800"/>
      <c r="O49" s="87">
        <f t="shared" si="13"/>
        <v>0</v>
      </c>
      <c r="P49" s="803"/>
      <c r="Q49" s="144">
        <f t="shared" si="14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13378</v>
      </c>
      <c r="X49" s="32">
        <f t="shared" si="9"/>
        <v>34400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-21022</v>
      </c>
      <c r="M50" s="95"/>
      <c r="N50" s="804">
        <f>SUM(K50:K55)</f>
        <v>15000</v>
      </c>
      <c r="O50" s="96">
        <f t="shared" si="13"/>
        <v>0</v>
      </c>
      <c r="P50" s="805"/>
      <c r="Q50" s="138">
        <f t="shared" si="14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13378</v>
      </c>
      <c r="X50" s="32">
        <f t="shared" si="9"/>
        <v>34400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60">
        <v>15000</v>
      </c>
      <c r="J51" s="26"/>
      <c r="K51" s="444">
        <f t="shared" si="0"/>
        <v>15000</v>
      </c>
      <c r="L51" s="28">
        <f t="shared" si="12"/>
        <v>-36022</v>
      </c>
      <c r="M51" s="234"/>
      <c r="N51" s="799"/>
      <c r="O51" s="184"/>
      <c r="P51" s="802"/>
      <c r="Q51" s="31"/>
      <c r="R51" s="31">
        <v>-1622</v>
      </c>
      <c r="S51" s="422">
        <f t="shared" si="4"/>
        <v>0</v>
      </c>
      <c r="T51" s="28">
        <f t="shared" si="5"/>
        <v>13378</v>
      </c>
      <c r="U51" s="28">
        <f t="shared" si="6"/>
        <v>0</v>
      </c>
      <c r="V51" s="28">
        <f t="shared" si="7"/>
        <v>13378</v>
      </c>
      <c r="W51" s="31">
        <f t="shared" si="11"/>
        <v>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2"/>
        <v>-36022</v>
      </c>
      <c r="M52" s="234"/>
      <c r="N52" s="799"/>
      <c r="O52" s="184"/>
      <c r="P52" s="802"/>
      <c r="Q52" s="31">
        <f t="shared" si="14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26">
        <v>0</v>
      </c>
      <c r="I53" s="26"/>
      <c r="J53" s="26"/>
      <c r="K53" s="27">
        <f t="shared" si="0"/>
        <v>0</v>
      </c>
      <c r="L53" s="28">
        <f>+L52-K53</f>
        <v>-36022</v>
      </c>
      <c r="M53" s="29"/>
      <c r="N53" s="799"/>
      <c r="O53" s="30">
        <f t="shared" si="13"/>
        <v>0</v>
      </c>
      <c r="P53" s="802"/>
      <c r="Q53" s="97">
        <f t="shared" si="14"/>
        <v>0</v>
      </c>
      <c r="R53" s="31">
        <v>0</v>
      </c>
      <c r="S53" s="28">
        <f t="shared" si="4"/>
        <v>0</v>
      </c>
      <c r="T53" s="28">
        <f t="shared" si="5"/>
        <v>0</v>
      </c>
      <c r="U53" s="28">
        <f t="shared" si="6"/>
        <v>0</v>
      </c>
      <c r="V53" s="28">
        <f t="shared" si="7"/>
        <v>0</v>
      </c>
      <c r="W53" s="31">
        <f t="shared" si="11"/>
        <v>0</v>
      </c>
      <c r="X53" s="32">
        <f t="shared" si="9"/>
        <v>36022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2"/>
        <v>-36022</v>
      </c>
      <c r="M54" s="29"/>
      <c r="N54" s="799"/>
      <c r="O54" s="30">
        <f t="shared" si="13"/>
        <v>0</v>
      </c>
      <c r="P54" s="802"/>
      <c r="Q54" s="97">
        <f t="shared" si="14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0</v>
      </c>
      <c r="X54" s="32">
        <f t="shared" si="9"/>
        <v>36022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>
        <v>0</v>
      </c>
      <c r="J55" s="143"/>
      <c r="K55" s="27">
        <f t="shared" si="0"/>
        <v>0</v>
      </c>
      <c r="L55" s="28">
        <f t="shared" si="12"/>
        <v>-36022</v>
      </c>
      <c r="M55" s="86"/>
      <c r="N55" s="800"/>
      <c r="O55" s="87">
        <f t="shared" si="13"/>
        <v>0</v>
      </c>
      <c r="P55" s="803"/>
      <c r="Q55" s="97">
        <f t="shared" si="14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31">
        <f t="shared" si="11"/>
        <v>0</v>
      </c>
      <c r="X55" s="119">
        <f t="shared" si="9"/>
        <v>36022</v>
      </c>
      <c r="Y55" s="807">
        <f>Z8</f>
        <v>41913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2"/>
        <v>-36022</v>
      </c>
      <c r="M56" s="804"/>
      <c r="N56" s="804">
        <f>SUM(K56:K80)</f>
        <v>0</v>
      </c>
      <c r="O56" s="96">
        <f t="shared" si="13"/>
        <v>0</v>
      </c>
      <c r="P56" s="172"/>
      <c r="Q56" s="157">
        <f t="shared" si="14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0</v>
      </c>
      <c r="X56" s="119">
        <f t="shared" si="9"/>
        <v>36022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2"/>
        <v>-36022</v>
      </c>
      <c r="M57" s="800"/>
      <c r="N57" s="800"/>
      <c r="O57" s="87" t="e">
        <f t="shared" ref="O57:O80" si="15">+K57/$N$56</f>
        <v>#DIV/0!</v>
      </c>
      <c r="P57" s="328"/>
      <c r="Q57" s="448">
        <f t="shared" si="14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2"/>
        <v>-36022</v>
      </c>
      <c r="M58" s="148"/>
      <c r="N58" s="148"/>
      <c r="O58" s="184" t="e">
        <f t="shared" si="15"/>
        <v>#DIV/0!</v>
      </c>
      <c r="P58" s="171"/>
      <c r="Q58" s="97">
        <f t="shared" ref="Q58:Q81" si="16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0</v>
      </c>
      <c r="X58" s="408"/>
      <c r="Y58" s="180" t="s">
        <v>7</v>
      </c>
      <c r="Z58" s="181">
        <f>+AB4</f>
        <v>43654</v>
      </c>
      <c r="AA58" s="182">
        <f>+AB3</f>
        <v>79803</v>
      </c>
      <c r="AB58" s="182">
        <f>Z12</f>
        <v>0</v>
      </c>
      <c r="AC58" s="181">
        <f>AB10</f>
        <v>0</v>
      </c>
      <c r="AD58" s="183">
        <f>SUM(Z58:AC58)</f>
        <v>123457</v>
      </c>
      <c r="AE58" s="185">
        <v>90000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2"/>
        <v>-36022</v>
      </c>
      <c r="M59" s="148"/>
      <c r="N59" s="148"/>
      <c r="O59" s="30" t="e">
        <f t="shared" si="15"/>
        <v>#DIV/0!</v>
      </c>
      <c r="P59" s="171"/>
      <c r="Q59" s="31">
        <f t="shared" si="16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0</v>
      </c>
      <c r="X59" s="408"/>
      <c r="Y59" s="180" t="s">
        <v>17</v>
      </c>
      <c r="Z59" s="182">
        <f>+AC4</f>
        <v>167877</v>
      </c>
      <c r="AA59" s="182">
        <f>AC3</f>
        <v>164870</v>
      </c>
      <c r="AB59" s="182">
        <f>Z11</f>
        <v>0</v>
      </c>
      <c r="AC59" s="181">
        <v>0</v>
      </c>
      <c r="AD59" s="183">
        <f>SUM(Z59:AC59)</f>
        <v>332747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-63788.666666666686</v>
      </c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2"/>
        <v>-36022</v>
      </c>
      <c r="M60" s="148"/>
      <c r="N60" s="148"/>
      <c r="O60" s="30" t="e">
        <f t="shared" si="15"/>
        <v>#DIV/0!</v>
      </c>
      <c r="P60" s="171"/>
      <c r="Q60" s="31">
        <f t="shared" si="16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ref="W60:W68" si="17">+W59-V60</f>
        <v>0</v>
      </c>
      <c r="X60" s="408"/>
      <c r="Y60" s="180" t="s">
        <v>112</v>
      </c>
      <c r="Z60" s="181">
        <f>+AD4+AH11</f>
        <v>0</v>
      </c>
      <c r="AA60" s="182">
        <f>+AD3+AH10</f>
        <v>35800</v>
      </c>
      <c r="AB60" s="191">
        <v>0</v>
      </c>
      <c r="AC60" s="181">
        <v>0</v>
      </c>
      <c r="AD60" s="183">
        <f>SUM(Z60:AC60)</f>
        <v>35800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2"/>
        <v>-36022</v>
      </c>
      <c r="M61" s="148"/>
      <c r="N61" s="148"/>
      <c r="O61" s="30" t="e">
        <f t="shared" si="15"/>
        <v>#DIV/0!</v>
      </c>
      <c r="P61" s="171"/>
      <c r="Q61" s="31">
        <f t="shared" si="16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7"/>
        <v>0</v>
      </c>
      <c r="X61" s="408"/>
      <c r="Y61" s="193" t="s">
        <v>113</v>
      </c>
      <c r="Z61" s="194">
        <f>SUM(Z58:Z60)</f>
        <v>211531</v>
      </c>
      <c r="AA61" s="194">
        <f>SUM(AA58:AA60)</f>
        <v>280473</v>
      </c>
      <c r="AB61" s="194">
        <f>SUM(AB58:AB60)</f>
        <v>0</v>
      </c>
      <c r="AC61" s="194">
        <f>AB10</f>
        <v>0</v>
      </c>
      <c r="AD61" s="195">
        <f>SUM(AD58:AD60)</f>
        <v>492004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2"/>
        <v>-36022</v>
      </c>
      <c r="M62" s="148"/>
      <c r="N62" s="148"/>
      <c r="O62" s="30" t="e">
        <f t="shared" si="15"/>
        <v>#DIV/0!</v>
      </c>
      <c r="P62" s="171"/>
      <c r="Q62" s="31">
        <f t="shared" si="16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7"/>
        <v>0</v>
      </c>
      <c r="X62" s="408"/>
      <c r="Y62" s="199" t="s">
        <v>114</v>
      </c>
      <c r="Z62" s="200">
        <f>(Z58/$Z$28+(Z59/$Z$27)+(Z60/$Z$29))</f>
        <v>212113.96806850881</v>
      </c>
      <c r="AA62" s="200">
        <f>(AA58/$Z$28+(AA59/$Z$27)+(AA60/$Z$29))</f>
        <v>281246.95194070117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493360.92000921001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2"/>
        <v>-36022</v>
      </c>
      <c r="M63" s="148"/>
      <c r="N63" s="148"/>
      <c r="O63" s="30" t="e">
        <f t="shared" si="15"/>
        <v>#DIV/0!</v>
      </c>
      <c r="P63" s="171"/>
      <c r="Q63" s="31">
        <f t="shared" si="16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7"/>
        <v>0</v>
      </c>
      <c r="X63" s="408"/>
      <c r="Y63" s="368" t="s">
        <v>293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2"/>
        <v>-36022</v>
      </c>
      <c r="M64" s="148"/>
      <c r="N64" s="148"/>
      <c r="O64" s="30" t="e">
        <f t="shared" si="15"/>
        <v>#DIV/0!</v>
      </c>
      <c r="P64" s="171"/>
      <c r="Q64" s="31">
        <f t="shared" si="16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7"/>
        <v>0</v>
      </c>
      <c r="X64" s="408"/>
      <c r="Y64" s="368" t="s">
        <v>303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2"/>
        <v>-36022</v>
      </c>
      <c r="M65" s="148"/>
      <c r="N65" s="148"/>
      <c r="O65" s="30" t="e">
        <f t="shared" si="15"/>
        <v>#DIV/0!</v>
      </c>
      <c r="P65" s="171"/>
      <c r="Q65" s="31">
        <f t="shared" si="16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7"/>
        <v>0</v>
      </c>
      <c r="X65" s="408"/>
      <c r="Y65" s="371" t="s">
        <v>115</v>
      </c>
      <c r="Z65" s="484"/>
      <c r="AA65" s="203">
        <v>119262</v>
      </c>
      <c r="AB65" s="204"/>
      <c r="AC65" s="204"/>
      <c r="AD65" s="205"/>
      <c r="AE65" s="32">
        <v>108797.23749999999</v>
      </c>
      <c r="AF65" s="53">
        <f>+AA65-AE65</f>
        <v>10464.762500000012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2"/>
        <v>-36022</v>
      </c>
      <c r="M66" s="148"/>
      <c r="N66" s="148"/>
      <c r="O66" s="30" t="e">
        <f t="shared" si="15"/>
        <v>#DIV/0!</v>
      </c>
      <c r="P66" s="171"/>
      <c r="Q66" s="31">
        <f t="shared" si="16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7"/>
        <v>0</v>
      </c>
      <c r="X66" s="408"/>
      <c r="Y66" s="814" t="s">
        <v>116</v>
      </c>
      <c r="Z66" s="815"/>
      <c r="AA66" s="203">
        <v>110688</v>
      </c>
      <c r="AB66" s="208"/>
      <c r="AC66" s="208"/>
      <c r="AD66" s="209"/>
      <c r="AE66" s="13">
        <v>52014.378240000005</v>
      </c>
      <c r="AF66" s="53">
        <f>+AA66-AE66</f>
        <v>58673.621759999995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si="12"/>
        <v>-36022</v>
      </c>
      <c r="M67" s="148"/>
      <c r="N67" s="148"/>
      <c r="O67" s="30" t="e">
        <f t="shared" si="15"/>
        <v>#DIV/0!</v>
      </c>
      <c r="P67" s="171"/>
      <c r="Q67" s="31">
        <f t="shared" si="16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7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ref="L68:L103" si="18">+L67-K68</f>
        <v>-36022</v>
      </c>
      <c r="M68" s="148"/>
      <c r="N68" s="148"/>
      <c r="O68" s="30" t="e">
        <f t="shared" si="15"/>
        <v>#DIV/0!</v>
      </c>
      <c r="P68" s="171"/>
      <c r="Q68" s="31">
        <f t="shared" si="16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7"/>
        <v>0</v>
      </c>
      <c r="X68" s="211"/>
      <c r="Y68" s="814" t="s">
        <v>188</v>
      </c>
      <c r="Z68" s="815"/>
      <c r="AA68" s="207">
        <f>Z9*Z30+AC61</f>
        <v>491931.62818090449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8"/>
        <v>-36022</v>
      </c>
      <c r="M69" s="148"/>
      <c r="N69" s="148"/>
      <c r="O69" s="30" t="e">
        <f t="shared" si="15"/>
        <v>#DIV/0!</v>
      </c>
      <c r="P69" s="171"/>
      <c r="Q69" s="31">
        <f t="shared" si="16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ref="W69:W103" si="19">+W68-V69</f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8"/>
        <v>-36022</v>
      </c>
      <c r="M70" s="148"/>
      <c r="N70" s="148"/>
      <c r="O70" s="30" t="e">
        <f t="shared" si="15"/>
        <v>#DIV/0!</v>
      </c>
      <c r="P70" s="171"/>
      <c r="Q70" s="31">
        <f t="shared" si="16"/>
        <v>0</v>
      </c>
      <c r="R70" s="31"/>
      <c r="S70" s="28">
        <f t="shared" ref="S70:S103" si="20">IF(H70&lt;&gt;0,+H70+Q70+R70,0)</f>
        <v>0</v>
      </c>
      <c r="T70" s="28">
        <f>IF(I70&lt;&gt;0,+I70+Q70+R70,0)</f>
        <v>0</v>
      </c>
      <c r="U70" s="28">
        <f t="shared" ref="U70:U103" si="21">IF(J70&lt;&gt;0,+J70+Q70+R70,0)</f>
        <v>0</v>
      </c>
      <c r="V70" s="28">
        <f t="shared" ref="V70:V103" si="22">+S70+T70+U70</f>
        <v>0</v>
      </c>
      <c r="W70" s="31">
        <f t="shared" si="19"/>
        <v>0</v>
      </c>
      <c r="X70" s="211"/>
      <c r="Y70" s="213"/>
      <c r="Z70" s="232">
        <f>+Z61-2200</f>
        <v>209331</v>
      </c>
      <c r="AA70" s="213"/>
      <c r="AB70" s="213"/>
      <c r="AC70" s="213"/>
      <c r="AD70" s="233">
        <v>491197</v>
      </c>
      <c r="AE70" s="233">
        <f>+AD70-(Z61+AA61)</f>
        <v>-807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8"/>
        <v>-36022</v>
      </c>
      <c r="M71" s="148"/>
      <c r="N71" s="148"/>
      <c r="O71" s="30" t="e">
        <f t="shared" si="15"/>
        <v>#DIV/0!</v>
      </c>
      <c r="P71" s="171"/>
      <c r="Q71" s="31">
        <f t="shared" si="16"/>
        <v>0</v>
      </c>
      <c r="R71" s="31"/>
      <c r="S71" s="28">
        <f t="shared" si="20"/>
        <v>0</v>
      </c>
      <c r="T71" s="28">
        <f t="shared" ref="T71:T103" si="23">IF(I71&lt;&gt;0,+I71+Q71+R71,0)</f>
        <v>0</v>
      </c>
      <c r="U71" s="28">
        <f t="shared" si="21"/>
        <v>0</v>
      </c>
      <c r="V71" s="28">
        <f t="shared" si="22"/>
        <v>0</v>
      </c>
      <c r="W71" s="31">
        <f t="shared" si="19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8"/>
        <v>-36022</v>
      </c>
      <c r="M72" s="148"/>
      <c r="N72" s="148"/>
      <c r="O72" s="30" t="e">
        <f t="shared" si="15"/>
        <v>#DIV/0!</v>
      </c>
      <c r="P72" s="171"/>
      <c r="Q72" s="31">
        <f t="shared" si="16"/>
        <v>0</v>
      </c>
      <c r="R72" s="31"/>
      <c r="S72" s="28">
        <f t="shared" si="20"/>
        <v>0</v>
      </c>
      <c r="T72" s="28">
        <f t="shared" si="23"/>
        <v>0</v>
      </c>
      <c r="U72" s="28">
        <f t="shared" si="21"/>
        <v>0</v>
      </c>
      <c r="V72" s="28">
        <f t="shared" si="22"/>
        <v>0</v>
      </c>
      <c r="W72" s="31">
        <f t="shared" si="19"/>
        <v>0</v>
      </c>
      <c r="X72" s="211"/>
      <c r="Y72" s="214" t="s">
        <v>47</v>
      </c>
      <c r="Z72" s="215">
        <f>Z8</f>
        <v>41913</v>
      </c>
      <c r="AA72" s="818" t="s">
        <v>118</v>
      </c>
      <c r="AB72" s="818"/>
      <c r="AC72" s="818"/>
      <c r="AD72" s="216">
        <v>14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10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8"/>
        <v>-36022</v>
      </c>
      <c r="M73" s="148"/>
      <c r="N73" s="148"/>
      <c r="O73" s="30" t="e">
        <f t="shared" si="15"/>
        <v>#DIV/0!</v>
      </c>
      <c r="P73" s="171"/>
      <c r="Q73" s="31">
        <f t="shared" si="16"/>
        <v>0</v>
      </c>
      <c r="R73" s="31"/>
      <c r="S73" s="28">
        <f t="shared" si="20"/>
        <v>0</v>
      </c>
      <c r="T73" s="28">
        <f t="shared" si="23"/>
        <v>0</v>
      </c>
      <c r="U73" s="28">
        <f t="shared" si="21"/>
        <v>0</v>
      </c>
      <c r="V73" s="28">
        <f t="shared" si="22"/>
        <v>0</v>
      </c>
      <c r="W73" s="31">
        <f t="shared" si="19"/>
        <v>0</v>
      </c>
      <c r="X73" s="211"/>
      <c r="Y73" s="214" t="s">
        <v>119</v>
      </c>
      <c r="Z73" s="480">
        <f>AD72</f>
        <v>14</v>
      </c>
      <c r="AA73" s="516" t="s">
        <v>120</v>
      </c>
      <c r="AB73" s="516"/>
      <c r="AC73" s="516"/>
      <c r="AD73" s="219">
        <f>24-AD72</f>
        <v>10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51600</v>
      </c>
      <c r="AO73" s="373">
        <f>AN73*AM72/24</f>
        <v>21500</v>
      </c>
      <c r="AP73" s="19">
        <f>21500*AD72/24</f>
        <v>12541.666666666666</v>
      </c>
      <c r="AQ73" s="19">
        <f>21500-AP73</f>
        <v>8958.3333333333339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4">SUM(H74:J74)</f>
        <v>0</v>
      </c>
      <c r="L74" s="28">
        <f t="shared" si="18"/>
        <v>-36022</v>
      </c>
      <c r="M74" s="148"/>
      <c r="N74" s="148"/>
      <c r="O74" s="30" t="e">
        <f t="shared" si="15"/>
        <v>#DIV/0!</v>
      </c>
      <c r="P74" s="171"/>
      <c r="Q74" s="31">
        <f t="shared" si="16"/>
        <v>0</v>
      </c>
      <c r="R74" s="31"/>
      <c r="S74" s="28">
        <f t="shared" si="20"/>
        <v>0</v>
      </c>
      <c r="T74" s="28">
        <f t="shared" si="23"/>
        <v>0</v>
      </c>
      <c r="U74" s="28">
        <f t="shared" si="21"/>
        <v>0</v>
      </c>
      <c r="V74" s="28">
        <f t="shared" si="22"/>
        <v>0</v>
      </c>
      <c r="W74" s="31">
        <f t="shared" si="19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517" t="s">
        <v>127</v>
      </c>
      <c r="AK74" s="819"/>
      <c r="AL74" s="819"/>
      <c r="AM74" s="20" t="s">
        <v>232</v>
      </c>
      <c r="AN74" s="19">
        <f>Z79-AN73</f>
        <v>281147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4"/>
        <v>0</v>
      </c>
      <c r="L75" s="28">
        <f t="shared" si="18"/>
        <v>-36022</v>
      </c>
      <c r="M75" s="148"/>
      <c r="N75" s="148"/>
      <c r="O75" s="30" t="e">
        <f t="shared" si="15"/>
        <v>#DIV/0!</v>
      </c>
      <c r="P75" s="171"/>
      <c r="Q75" s="31">
        <f t="shared" si="16"/>
        <v>0</v>
      </c>
      <c r="R75" s="31"/>
      <c r="S75" s="28">
        <f t="shared" si="20"/>
        <v>0</v>
      </c>
      <c r="T75" s="28">
        <f t="shared" si="23"/>
        <v>0</v>
      </c>
      <c r="U75" s="28">
        <f t="shared" si="21"/>
        <v>0</v>
      </c>
      <c r="V75" s="28">
        <f t="shared" si="22"/>
        <v>0</v>
      </c>
      <c r="W75" s="31">
        <f t="shared" si="19"/>
        <v>0</v>
      </c>
      <c r="X75" s="211"/>
      <c r="Y75" s="517" t="s">
        <v>121</v>
      </c>
      <c r="Z75" s="517" t="s">
        <v>122</v>
      </c>
      <c r="AA75" s="517" t="s">
        <v>123</v>
      </c>
      <c r="AB75" s="820" t="s">
        <v>124</v>
      </c>
      <c r="AC75" s="821"/>
      <c r="AD75" s="822"/>
      <c r="AE75" s="517" t="s">
        <v>125</v>
      </c>
      <c r="AF75" s="517" t="s">
        <v>126</v>
      </c>
      <c r="AG75" s="149"/>
      <c r="AH75" s="517" t="s">
        <v>121</v>
      </c>
      <c r="AI75" s="517"/>
      <c r="AJ75" s="214" t="s">
        <v>7</v>
      </c>
      <c r="AK75" s="236">
        <f>((+AD78-AA78)/$AD$73)*24</f>
        <v>158611.20000000001</v>
      </c>
      <c r="AL75" s="236">
        <f>AK75</f>
        <v>158611.20000000001</v>
      </c>
      <c r="AM75" s="20" t="s">
        <v>7</v>
      </c>
      <c r="AN75" s="19">
        <f>AD58</f>
        <v>123457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4"/>
        <v>0</v>
      </c>
      <c r="L76" s="28">
        <f t="shared" si="18"/>
        <v>-36022</v>
      </c>
      <c r="M76" s="148"/>
      <c r="N76" s="148"/>
      <c r="O76" s="30" t="e">
        <f t="shared" si="15"/>
        <v>#DIV/0!</v>
      </c>
      <c r="P76" s="171"/>
      <c r="Q76" s="31">
        <f t="shared" si="16"/>
        <v>0</v>
      </c>
      <c r="R76" s="31"/>
      <c r="S76" s="28">
        <f t="shared" si="20"/>
        <v>0</v>
      </c>
      <c r="T76" s="28">
        <f t="shared" si="23"/>
        <v>0</v>
      </c>
      <c r="U76" s="28">
        <f t="shared" si="21"/>
        <v>0</v>
      </c>
      <c r="V76" s="28">
        <f t="shared" si="22"/>
        <v>0</v>
      </c>
      <c r="W76" s="31">
        <f t="shared" si="19"/>
        <v>0</v>
      </c>
      <c r="X76" s="211"/>
      <c r="Y76" s="517"/>
      <c r="Z76" s="517"/>
      <c r="AA76" s="517"/>
      <c r="AB76" s="517"/>
      <c r="AC76" s="517"/>
      <c r="AD76" s="517"/>
      <c r="AE76" s="517"/>
      <c r="AF76" s="517"/>
      <c r="AG76" s="149"/>
      <c r="AH76" s="517"/>
      <c r="AI76" s="517"/>
      <c r="AJ76" s="214" t="s">
        <v>6</v>
      </c>
      <c r="AK76" s="236">
        <f>((+AD79-AA79)/$AD$73)*24</f>
        <v>342232.80000000005</v>
      </c>
      <c r="AL76" s="236">
        <f>+AK76</f>
        <v>342232.80000000005</v>
      </c>
      <c r="AM76" s="464"/>
      <c r="AN76" s="19">
        <f>SUM(AN73:AN75)</f>
        <v>456204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4"/>
        <v>0</v>
      </c>
      <c r="L77" s="28">
        <f t="shared" si="18"/>
        <v>-36022</v>
      </c>
      <c r="M77" s="148"/>
      <c r="N77" s="148"/>
      <c r="O77" s="30" t="e">
        <f t="shared" si="15"/>
        <v>#DIV/0!</v>
      </c>
      <c r="P77" s="171"/>
      <c r="Q77" s="31">
        <f t="shared" si="16"/>
        <v>0</v>
      </c>
      <c r="R77" s="31"/>
      <c r="S77" s="28">
        <f t="shared" si="20"/>
        <v>0</v>
      </c>
      <c r="T77" s="28">
        <f t="shared" si="23"/>
        <v>0</v>
      </c>
      <c r="U77" s="28">
        <f t="shared" si="21"/>
        <v>0</v>
      </c>
      <c r="V77" s="28">
        <f t="shared" si="22"/>
        <v>0</v>
      </c>
      <c r="W77" s="31">
        <f t="shared" si="19"/>
        <v>0</v>
      </c>
      <c r="X77" s="211"/>
      <c r="Y77" s="517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517"/>
      <c r="AI77" s="78"/>
      <c r="AJ77" s="214" t="s">
        <v>8</v>
      </c>
      <c r="AK77" s="236">
        <f>((+AD80-AA80)/$AD$73)*24</f>
        <v>29316</v>
      </c>
      <c r="AL77" s="236">
        <f>AK77</f>
        <v>29316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4"/>
        <v>0</v>
      </c>
      <c r="L78" s="28">
        <f t="shared" si="18"/>
        <v>-36022</v>
      </c>
      <c r="M78" s="148"/>
      <c r="N78" s="148"/>
      <c r="O78" s="30" t="e">
        <f t="shared" si="15"/>
        <v>#DIV/0!</v>
      </c>
      <c r="P78" s="171"/>
      <c r="Q78" s="31">
        <f t="shared" si="16"/>
        <v>0</v>
      </c>
      <c r="R78" s="31"/>
      <c r="S78" s="28">
        <f t="shared" si="20"/>
        <v>0</v>
      </c>
      <c r="T78" s="28">
        <f t="shared" si="23"/>
        <v>0</v>
      </c>
      <c r="U78" s="28">
        <f t="shared" si="21"/>
        <v>0</v>
      </c>
      <c r="V78" s="28">
        <f t="shared" si="22"/>
        <v>0</v>
      </c>
      <c r="W78" s="31">
        <f t="shared" si="19"/>
        <v>0</v>
      </c>
      <c r="X78" s="211"/>
      <c r="Y78" s="214" t="s">
        <v>7</v>
      </c>
      <c r="Z78" s="224">
        <v>124257</v>
      </c>
      <c r="AA78" s="225">
        <v>57369</v>
      </c>
      <c r="AB78" s="226">
        <f t="shared" ref="AB78:AC80" si="25">+Z58</f>
        <v>43654</v>
      </c>
      <c r="AC78" s="226">
        <f t="shared" si="25"/>
        <v>79803</v>
      </c>
      <c r="AD78" s="226">
        <f>+AB78+AC78+AB58+AC58</f>
        <v>123457</v>
      </c>
      <c r="AE78" s="519">
        <f>+((AD58/24)*$AD$73)+AA78</f>
        <v>108809.41666666667</v>
      </c>
      <c r="AF78" s="227">
        <f>+AE78-AD78</f>
        <v>-14647.583333333328</v>
      </c>
      <c r="AG78" s="212"/>
      <c r="AH78" s="214" t="s">
        <v>7</v>
      </c>
      <c r="AI78" s="446">
        <f>+AA78</f>
        <v>57369</v>
      </c>
      <c r="AK78" s="231">
        <f>+SUM(AK75:AK77)</f>
        <v>530160</v>
      </c>
      <c r="AL78" s="231">
        <f>+SUM(AL75:AL77)</f>
        <v>530160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4"/>
        <v>0</v>
      </c>
      <c r="L79" s="28">
        <f t="shared" si="18"/>
        <v>-36022</v>
      </c>
      <c r="M79" s="148"/>
      <c r="N79" s="148"/>
      <c r="O79" s="30" t="e">
        <f t="shared" si="15"/>
        <v>#DIV/0!</v>
      </c>
      <c r="P79" s="171"/>
      <c r="Q79" s="31">
        <f t="shared" si="16"/>
        <v>0</v>
      </c>
      <c r="R79" s="31"/>
      <c r="S79" s="28">
        <f t="shared" si="20"/>
        <v>0</v>
      </c>
      <c r="T79" s="28">
        <f t="shared" si="23"/>
        <v>0</v>
      </c>
      <c r="U79" s="28">
        <f t="shared" si="21"/>
        <v>0</v>
      </c>
      <c r="V79" s="28">
        <f t="shared" si="22"/>
        <v>0</v>
      </c>
      <c r="W79" s="31">
        <f t="shared" si="19"/>
        <v>0</v>
      </c>
      <c r="X79" s="211"/>
      <c r="Y79" s="214" t="s">
        <v>6</v>
      </c>
      <c r="Z79" s="224">
        <v>332747</v>
      </c>
      <c r="AA79" s="225">
        <f>189850+300</f>
        <v>190150</v>
      </c>
      <c r="AB79" s="226">
        <f t="shared" si="25"/>
        <v>167877</v>
      </c>
      <c r="AC79" s="226">
        <f t="shared" si="25"/>
        <v>164870</v>
      </c>
      <c r="AD79" s="226">
        <f>+AB79+AC79+AB59</f>
        <v>332747</v>
      </c>
      <c r="AE79" s="519">
        <f>+((AD59/24)*$AD$73)+AA79</f>
        <v>328794.58333333337</v>
      </c>
      <c r="AF79" s="227">
        <f>+AE79-AD79</f>
        <v>-3952.4166666666279</v>
      </c>
      <c r="AG79" s="212"/>
      <c r="AH79" s="214" t="s">
        <v>6</v>
      </c>
      <c r="AI79" s="446">
        <f>+AA79</f>
        <v>190150</v>
      </c>
      <c r="AJ79" s="53"/>
      <c r="AK79" s="481">
        <v>536741</v>
      </c>
      <c r="AL79" s="481">
        <f>AK79-AK78</f>
        <v>6581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4"/>
        <v>0</v>
      </c>
      <c r="L80" s="28">
        <f t="shared" si="18"/>
        <v>-36022</v>
      </c>
      <c r="M80" s="148"/>
      <c r="N80" s="234"/>
      <c r="O80" s="30" t="e">
        <f t="shared" si="15"/>
        <v>#DIV/0!</v>
      </c>
      <c r="P80" s="179"/>
      <c r="Q80" s="31">
        <f t="shared" si="16"/>
        <v>0</v>
      </c>
      <c r="R80" s="31"/>
      <c r="S80" s="28">
        <f t="shared" si="20"/>
        <v>0</v>
      </c>
      <c r="T80" s="28">
        <f t="shared" si="23"/>
        <v>0</v>
      </c>
      <c r="U80" s="28">
        <f t="shared" si="21"/>
        <v>0</v>
      </c>
      <c r="V80" s="28">
        <f t="shared" si="22"/>
        <v>0</v>
      </c>
      <c r="W80" s="31">
        <f t="shared" si="19"/>
        <v>0</v>
      </c>
      <c r="X80" s="211"/>
      <c r="Y80" s="214" t="s">
        <v>8</v>
      </c>
      <c r="Z80" s="224">
        <v>35000</v>
      </c>
      <c r="AA80" s="225">
        <v>23585</v>
      </c>
      <c r="AB80" s="226">
        <f t="shared" si="25"/>
        <v>0</v>
      </c>
      <c r="AC80" s="226">
        <f t="shared" si="25"/>
        <v>35800</v>
      </c>
      <c r="AD80" s="226">
        <f>+AB80+AC80</f>
        <v>35800</v>
      </c>
      <c r="AE80" s="519">
        <f>+((AD60/24)*$AD$73)+AA80</f>
        <v>38501.666666666672</v>
      </c>
      <c r="AF80" s="227">
        <f>+AE80-AD80</f>
        <v>2701.6666666666715</v>
      </c>
      <c r="AG80" s="149"/>
      <c r="AH80" s="214" t="s">
        <v>8</v>
      </c>
      <c r="AI80" s="447">
        <f>+AA80</f>
        <v>23585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4"/>
        <v>0</v>
      </c>
      <c r="L81" s="28">
        <f t="shared" si="18"/>
        <v>-36022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6"/>
        <v>0</v>
      </c>
      <c r="R81" s="31"/>
      <c r="S81" s="28">
        <f t="shared" si="20"/>
        <v>0</v>
      </c>
      <c r="T81" s="28">
        <f t="shared" si="23"/>
        <v>0</v>
      </c>
      <c r="U81" s="28">
        <f t="shared" si="21"/>
        <v>0</v>
      </c>
      <c r="V81" s="28">
        <f t="shared" si="22"/>
        <v>0</v>
      </c>
      <c r="W81" s="31">
        <f t="shared" si="19"/>
        <v>0</v>
      </c>
      <c r="X81" s="211"/>
      <c r="Y81" s="228" t="s">
        <v>130</v>
      </c>
      <c r="Z81" s="229">
        <f t="shared" ref="Z81:AE81" si="26">SUM(Z78:Z80)</f>
        <v>492004</v>
      </c>
      <c r="AA81" s="230">
        <f t="shared" si="26"/>
        <v>271104</v>
      </c>
      <c r="AB81" s="229">
        <f t="shared" si="26"/>
        <v>211531</v>
      </c>
      <c r="AC81" s="229">
        <f t="shared" si="26"/>
        <v>280473</v>
      </c>
      <c r="AD81" s="229">
        <f t="shared" si="26"/>
        <v>492004</v>
      </c>
      <c r="AE81" s="229">
        <f t="shared" si="26"/>
        <v>476105.66666666674</v>
      </c>
      <c r="AF81" s="227">
        <f>+SUM(AF78:AF80)</f>
        <v>-15898.333333333285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4"/>
        <v>0</v>
      </c>
      <c r="L82" s="28">
        <f t="shared" si="18"/>
        <v>-36022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20"/>
        <v>0</v>
      </c>
      <c r="T82" s="28">
        <f t="shared" si="23"/>
        <v>0</v>
      </c>
      <c r="U82" s="28">
        <f t="shared" si="21"/>
        <v>0</v>
      </c>
      <c r="V82" s="28">
        <f t="shared" si="22"/>
        <v>0</v>
      </c>
      <c r="W82" s="31">
        <f t="shared" si="19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4"/>
        <v>0</v>
      </c>
      <c r="L83" s="28">
        <f t="shared" si="18"/>
        <v>-36022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20"/>
        <v>0</v>
      </c>
      <c r="T83" s="28">
        <f t="shared" si="23"/>
        <v>0</v>
      </c>
      <c r="U83" s="28">
        <f t="shared" si="21"/>
        <v>0</v>
      </c>
      <c r="V83" s="28">
        <f t="shared" si="22"/>
        <v>0</v>
      </c>
      <c r="W83" s="31">
        <f t="shared" si="19"/>
        <v>0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4"/>
        <v>0</v>
      </c>
      <c r="L84" s="28">
        <f t="shared" si="18"/>
        <v>-36022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20"/>
        <v>0</v>
      </c>
      <c r="T84" s="28">
        <f t="shared" si="23"/>
        <v>0</v>
      </c>
      <c r="U84" s="28">
        <f t="shared" si="21"/>
        <v>0</v>
      </c>
      <c r="V84" s="28">
        <f t="shared" si="22"/>
        <v>0</v>
      </c>
      <c r="W84" s="31">
        <f t="shared" si="19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4"/>
        <v>0</v>
      </c>
      <c r="L85" s="28">
        <f t="shared" si="18"/>
        <v>-36022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20"/>
        <v>0</v>
      </c>
      <c r="T85" s="28">
        <f t="shared" si="23"/>
        <v>0</v>
      </c>
      <c r="U85" s="28">
        <f t="shared" si="21"/>
        <v>0</v>
      </c>
      <c r="V85" s="28">
        <f t="shared" si="22"/>
        <v>0</v>
      </c>
      <c r="W85" s="31">
        <f t="shared" si="19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4"/>
        <v>0</v>
      </c>
      <c r="L86" s="28">
        <f t="shared" si="18"/>
        <v>-36022</v>
      </c>
      <c r="M86" s="810"/>
      <c r="N86" s="810"/>
      <c r="O86" s="30" t="e">
        <f t="shared" ref="O86:O93" si="27">+K86/$N$85</f>
        <v>#DIV/0!</v>
      </c>
      <c r="P86" s="171"/>
      <c r="Q86" s="31">
        <f t="shared" ref="Q86:Q103" si="28">IF($P$85=0,0,(-($P$85*O86)+K86)-K86)</f>
        <v>0</v>
      </c>
      <c r="R86" s="31"/>
      <c r="S86" s="28">
        <f t="shared" si="20"/>
        <v>0</v>
      </c>
      <c r="T86" s="28">
        <f t="shared" si="23"/>
        <v>0</v>
      </c>
      <c r="U86" s="28">
        <f t="shared" si="21"/>
        <v>0</v>
      </c>
      <c r="V86" s="28">
        <f t="shared" si="22"/>
        <v>0</v>
      </c>
      <c r="W86" s="31">
        <f t="shared" si="19"/>
        <v>0</v>
      </c>
      <c r="Y86" s="14" t="s">
        <v>177</v>
      </c>
      <c r="Z86" s="336" t="s">
        <v>178</v>
      </c>
      <c r="AA86" s="337">
        <f>+AA81</f>
        <v>271104</v>
      </c>
      <c r="AB86" s="337">
        <f>AA87-AA86</f>
        <v>1085.7291666666861</v>
      </c>
      <c r="AC86" s="42">
        <f>AB86*24/5.5</f>
        <v>4737.7272727273576</v>
      </c>
      <c r="AD86" s="338">
        <f>AC86+353111</f>
        <v>357848.72727272735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4"/>
        <v>0</v>
      </c>
      <c r="L87" s="28">
        <f t="shared" si="18"/>
        <v>-36022</v>
      </c>
      <c r="M87" s="810"/>
      <c r="N87" s="810"/>
      <c r="O87" s="30" t="e">
        <f t="shared" si="27"/>
        <v>#DIV/0!</v>
      </c>
      <c r="P87" s="171"/>
      <c r="Q87" s="31">
        <f t="shared" si="28"/>
        <v>0</v>
      </c>
      <c r="R87" s="31"/>
      <c r="S87" s="28">
        <f t="shared" si="20"/>
        <v>0</v>
      </c>
      <c r="T87" s="28">
        <f t="shared" si="23"/>
        <v>0</v>
      </c>
      <c r="U87" s="28">
        <f t="shared" si="21"/>
        <v>0</v>
      </c>
      <c r="V87" s="28">
        <f t="shared" si="22"/>
        <v>0</v>
      </c>
      <c r="W87" s="31">
        <f t="shared" si="19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82007.000000000015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4"/>
        <v>0</v>
      </c>
      <c r="L88" s="28">
        <f t="shared" si="18"/>
        <v>-36022</v>
      </c>
      <c r="M88" s="810"/>
      <c r="N88" s="810"/>
      <c r="O88" s="30" t="e">
        <f t="shared" si="27"/>
        <v>#DIV/0!</v>
      </c>
      <c r="P88" s="171"/>
      <c r="Q88" s="31">
        <f t="shared" si="28"/>
        <v>0</v>
      </c>
      <c r="R88" s="31"/>
      <c r="S88" s="28">
        <f t="shared" si="20"/>
        <v>0</v>
      </c>
      <c r="T88" s="28">
        <f t="shared" si="23"/>
        <v>0</v>
      </c>
      <c r="U88" s="28">
        <f t="shared" si="21"/>
        <v>0</v>
      </c>
      <c r="V88" s="28">
        <f t="shared" si="22"/>
        <v>0</v>
      </c>
      <c r="W88" s="31">
        <f t="shared" si="19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4"/>
        <v>0</v>
      </c>
      <c r="L89" s="28">
        <f t="shared" si="18"/>
        <v>-36022</v>
      </c>
      <c r="M89" s="810"/>
      <c r="N89" s="810"/>
      <c r="O89" s="30" t="e">
        <f t="shared" si="27"/>
        <v>#DIV/0!</v>
      </c>
      <c r="P89" s="171"/>
      <c r="Q89" s="31">
        <f t="shared" si="28"/>
        <v>0</v>
      </c>
      <c r="R89" s="31"/>
      <c r="S89" s="28">
        <f t="shared" si="20"/>
        <v>0</v>
      </c>
      <c r="T89" s="28">
        <f t="shared" si="23"/>
        <v>0</v>
      </c>
      <c r="U89" s="28">
        <f t="shared" si="21"/>
        <v>0</v>
      </c>
      <c r="V89" s="28">
        <f t="shared" si="22"/>
        <v>0</v>
      </c>
      <c r="W89" s="31">
        <f t="shared" si="19"/>
        <v>0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4"/>
        <v>0</v>
      </c>
      <c r="L90" s="28">
        <f t="shared" si="18"/>
        <v>-36022</v>
      </c>
      <c r="M90" s="810"/>
      <c r="N90" s="810"/>
      <c r="O90" s="30" t="e">
        <f t="shared" si="27"/>
        <v>#DIV/0!</v>
      </c>
      <c r="P90" s="171"/>
      <c r="Q90" s="31">
        <f t="shared" si="28"/>
        <v>0</v>
      </c>
      <c r="R90" s="31"/>
      <c r="S90" s="28">
        <f t="shared" si="20"/>
        <v>0</v>
      </c>
      <c r="T90" s="28">
        <f t="shared" si="23"/>
        <v>0</v>
      </c>
      <c r="U90" s="28">
        <f t="shared" si="21"/>
        <v>0</v>
      </c>
      <c r="V90" s="28">
        <f t="shared" si="22"/>
        <v>0</v>
      </c>
      <c r="W90" s="31">
        <f t="shared" si="19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4"/>
        <v>0</v>
      </c>
      <c r="L91" s="28">
        <f t="shared" si="18"/>
        <v>-36022</v>
      </c>
      <c r="M91" s="810"/>
      <c r="N91" s="810"/>
      <c r="O91" s="30" t="e">
        <f t="shared" si="27"/>
        <v>#DIV/0!</v>
      </c>
      <c r="P91" s="171"/>
      <c r="Q91" s="31">
        <f t="shared" si="28"/>
        <v>0</v>
      </c>
      <c r="R91" s="31"/>
      <c r="S91" s="28">
        <f t="shared" si="20"/>
        <v>0</v>
      </c>
      <c r="T91" s="28">
        <f t="shared" si="23"/>
        <v>0</v>
      </c>
      <c r="U91" s="28">
        <f t="shared" si="21"/>
        <v>0</v>
      </c>
      <c r="V91" s="28">
        <f t="shared" si="22"/>
        <v>0</v>
      </c>
      <c r="W91" s="31">
        <f t="shared" si="19"/>
        <v>0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4"/>
        <v>0</v>
      </c>
      <c r="L92" s="28">
        <f t="shared" si="18"/>
        <v>-36022</v>
      </c>
      <c r="M92" s="810"/>
      <c r="N92" s="810"/>
      <c r="O92" s="30" t="e">
        <f t="shared" si="27"/>
        <v>#DIV/0!</v>
      </c>
      <c r="P92" s="171"/>
      <c r="Q92" s="31">
        <f t="shared" si="28"/>
        <v>0</v>
      </c>
      <c r="R92" s="31"/>
      <c r="S92" s="28">
        <f t="shared" si="20"/>
        <v>0</v>
      </c>
      <c r="T92" s="28">
        <f t="shared" si="23"/>
        <v>0</v>
      </c>
      <c r="U92" s="28">
        <f t="shared" si="21"/>
        <v>0</v>
      </c>
      <c r="V92" s="28">
        <f t="shared" si="22"/>
        <v>0</v>
      </c>
      <c r="W92" s="31">
        <f t="shared" si="19"/>
        <v>0</v>
      </c>
      <c r="Y92" s="823" t="s">
        <v>158</v>
      </c>
      <c r="Z92" s="489" t="s">
        <v>283</v>
      </c>
      <c r="AA92" s="490" t="e">
        <f>IF(C2:D57="Regulado",VLOOKUP(A2,[1]HeatRate!$A$1:$D$37,4,FALSE),"")</f>
        <v>#VALUE!</v>
      </c>
      <c r="AB92" s="491"/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4"/>
        <v>0</v>
      </c>
      <c r="L93" s="28">
        <f t="shared" si="18"/>
        <v>-36022</v>
      </c>
      <c r="M93" s="810"/>
      <c r="N93" s="810"/>
      <c r="O93" s="30" t="e">
        <f t="shared" si="27"/>
        <v>#DIV/0!</v>
      </c>
      <c r="P93" s="179"/>
      <c r="Q93" s="31">
        <f t="shared" si="28"/>
        <v>0</v>
      </c>
      <c r="R93" s="31"/>
      <c r="S93" s="28">
        <f t="shared" si="20"/>
        <v>0</v>
      </c>
      <c r="T93" s="28">
        <f t="shared" si="23"/>
        <v>0</v>
      </c>
      <c r="U93" s="28">
        <f t="shared" si="21"/>
        <v>0</v>
      </c>
      <c r="V93" s="28">
        <f t="shared" si="22"/>
        <v>0</v>
      </c>
      <c r="W93" s="31">
        <f t="shared" si="19"/>
        <v>0</v>
      </c>
      <c r="Y93" s="824"/>
      <c r="Z93" s="492" t="s">
        <v>284</v>
      </c>
      <c r="AA93" s="493"/>
      <c r="AB93" s="494"/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4"/>
        <v>0</v>
      </c>
      <c r="L94" s="28">
        <f t="shared" si="18"/>
        <v>-36022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8"/>
        <v>0</v>
      </c>
      <c r="R94" s="31"/>
      <c r="S94" s="28">
        <f t="shared" si="20"/>
        <v>0</v>
      </c>
      <c r="T94" s="28">
        <f t="shared" si="23"/>
        <v>0</v>
      </c>
      <c r="U94" s="28">
        <f t="shared" si="21"/>
        <v>0</v>
      </c>
      <c r="V94" s="28">
        <f t="shared" si="22"/>
        <v>0</v>
      </c>
      <c r="W94" s="31">
        <f t="shared" si="19"/>
        <v>0</v>
      </c>
      <c r="Y94" s="824"/>
      <c r="Z94" s="492" t="s">
        <v>80</v>
      </c>
      <c r="AA94" s="493"/>
      <c r="AB94" s="494"/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4"/>
        <v>0</v>
      </c>
      <c r="L95" s="28">
        <f t="shared" si="18"/>
        <v>-36022</v>
      </c>
      <c r="M95" s="810"/>
      <c r="N95" s="810"/>
      <c r="O95" s="30">
        <f t="shared" ref="O95:O103" si="29">IF($N$94=0,0,+K95/$N$94)</f>
        <v>0</v>
      </c>
      <c r="P95" s="171"/>
      <c r="Q95" s="31">
        <f t="shared" si="28"/>
        <v>0</v>
      </c>
      <c r="R95" s="31"/>
      <c r="S95" s="28">
        <f t="shared" si="20"/>
        <v>0</v>
      </c>
      <c r="T95" s="28">
        <f t="shared" si="23"/>
        <v>0</v>
      </c>
      <c r="U95" s="28">
        <f t="shared" si="21"/>
        <v>0</v>
      </c>
      <c r="V95" s="28">
        <f t="shared" si="22"/>
        <v>0</v>
      </c>
      <c r="W95" s="31">
        <f t="shared" si="19"/>
        <v>0</v>
      </c>
      <c r="Y95" s="824"/>
      <c r="Z95" s="492" t="s">
        <v>285</v>
      </c>
      <c r="AA95" s="493"/>
      <c r="AB95" s="494"/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4"/>
        <v>0</v>
      </c>
      <c r="L96" s="28">
        <f t="shared" si="18"/>
        <v>-36022</v>
      </c>
      <c r="M96" s="810"/>
      <c r="N96" s="810"/>
      <c r="O96" s="30">
        <f t="shared" si="29"/>
        <v>0</v>
      </c>
      <c r="P96" s="171"/>
      <c r="Q96" s="31">
        <f t="shared" si="28"/>
        <v>0</v>
      </c>
      <c r="R96" s="31"/>
      <c r="S96" s="28">
        <f t="shared" si="20"/>
        <v>0</v>
      </c>
      <c r="T96" s="28">
        <f t="shared" si="23"/>
        <v>0</v>
      </c>
      <c r="U96" s="28">
        <f t="shared" si="21"/>
        <v>0</v>
      </c>
      <c r="V96" s="28">
        <f t="shared" si="22"/>
        <v>0</v>
      </c>
      <c r="W96" s="31">
        <f t="shared" si="19"/>
        <v>0</v>
      </c>
      <c r="Y96" s="824"/>
      <c r="Z96" s="495" t="s">
        <v>286</v>
      </c>
      <c r="AA96" s="496"/>
      <c r="AB96" s="497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4"/>
        <v>0</v>
      </c>
      <c r="L97" s="28">
        <f t="shared" si="18"/>
        <v>-36022</v>
      </c>
      <c r="M97" s="810"/>
      <c r="N97" s="810"/>
      <c r="O97" s="30">
        <f t="shared" si="29"/>
        <v>0</v>
      </c>
      <c r="P97" s="171"/>
      <c r="Q97" s="31">
        <f t="shared" si="28"/>
        <v>0</v>
      </c>
      <c r="R97" s="31"/>
      <c r="S97" s="28">
        <f t="shared" si="20"/>
        <v>0</v>
      </c>
      <c r="T97" s="28">
        <f t="shared" si="23"/>
        <v>0</v>
      </c>
      <c r="U97" s="28">
        <f t="shared" si="21"/>
        <v>0</v>
      </c>
      <c r="V97" s="28">
        <f t="shared" si="22"/>
        <v>0</v>
      </c>
      <c r="W97" s="31">
        <f t="shared" si="19"/>
        <v>0</v>
      </c>
      <c r="Y97" s="825" t="s">
        <v>154</v>
      </c>
      <c r="Z97" s="489" t="s">
        <v>283</v>
      </c>
      <c r="AA97" s="498"/>
      <c r="AB97" s="499"/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4"/>
        <v>0</v>
      </c>
      <c r="L98" s="28">
        <f t="shared" si="18"/>
        <v>-36022</v>
      </c>
      <c r="M98" s="810"/>
      <c r="N98" s="810"/>
      <c r="O98" s="30">
        <f t="shared" si="29"/>
        <v>0</v>
      </c>
      <c r="P98" s="171"/>
      <c r="Q98" s="31">
        <f t="shared" si="28"/>
        <v>0</v>
      </c>
      <c r="R98" s="31"/>
      <c r="S98" s="28">
        <f t="shared" si="20"/>
        <v>0</v>
      </c>
      <c r="T98" s="28">
        <f t="shared" si="23"/>
        <v>0</v>
      </c>
      <c r="U98" s="28">
        <f t="shared" si="21"/>
        <v>0</v>
      </c>
      <c r="V98" s="28">
        <f t="shared" si="22"/>
        <v>0</v>
      </c>
      <c r="W98" s="31">
        <f t="shared" si="19"/>
        <v>0</v>
      </c>
      <c r="Y98" s="826"/>
      <c r="Z98" s="492" t="s">
        <v>284</v>
      </c>
      <c r="AA98" s="500"/>
      <c r="AB98" s="501"/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4"/>
        <v>0</v>
      </c>
      <c r="L99" s="28">
        <f t="shared" si="18"/>
        <v>-36022</v>
      </c>
      <c r="M99" s="810"/>
      <c r="N99" s="810"/>
      <c r="O99" s="30">
        <f t="shared" si="29"/>
        <v>0</v>
      </c>
      <c r="P99" s="171"/>
      <c r="Q99" s="31">
        <f t="shared" si="28"/>
        <v>0</v>
      </c>
      <c r="R99" s="31"/>
      <c r="S99" s="28">
        <f t="shared" si="20"/>
        <v>0</v>
      </c>
      <c r="T99" s="28">
        <f t="shared" si="23"/>
        <v>0</v>
      </c>
      <c r="U99" s="28">
        <f t="shared" si="21"/>
        <v>0</v>
      </c>
      <c r="V99" s="28">
        <f t="shared" si="22"/>
        <v>0</v>
      </c>
      <c r="W99" s="31">
        <f t="shared" si="19"/>
        <v>0</v>
      </c>
      <c r="Y99" s="826"/>
      <c r="Z99" s="492" t="s">
        <v>80</v>
      </c>
      <c r="AA99" s="500"/>
      <c r="AB99" s="501"/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4"/>
        <v>0</v>
      </c>
      <c r="L100" s="28">
        <f t="shared" si="18"/>
        <v>-36022</v>
      </c>
      <c r="M100" s="810"/>
      <c r="N100" s="810"/>
      <c r="O100" s="30">
        <f t="shared" si="29"/>
        <v>0</v>
      </c>
      <c r="P100" s="171"/>
      <c r="Q100" s="31">
        <f t="shared" si="28"/>
        <v>0</v>
      </c>
      <c r="R100" s="31"/>
      <c r="S100" s="28">
        <f t="shared" si="20"/>
        <v>0</v>
      </c>
      <c r="T100" s="28">
        <f t="shared" si="23"/>
        <v>0</v>
      </c>
      <c r="U100" s="28">
        <f t="shared" si="21"/>
        <v>0</v>
      </c>
      <c r="V100" s="28">
        <f t="shared" si="22"/>
        <v>0</v>
      </c>
      <c r="W100" s="31">
        <f t="shared" si="19"/>
        <v>0</v>
      </c>
      <c r="Y100" s="826"/>
      <c r="Z100" s="492" t="s">
        <v>285</v>
      </c>
      <c r="AA100" s="500"/>
      <c r="AB100" s="501"/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4"/>
        <v>0</v>
      </c>
      <c r="L101" s="28">
        <f t="shared" si="18"/>
        <v>-36022</v>
      </c>
      <c r="M101" s="810"/>
      <c r="N101" s="810"/>
      <c r="O101" s="30">
        <f t="shared" si="29"/>
        <v>0</v>
      </c>
      <c r="P101" s="171"/>
      <c r="Q101" s="31">
        <f t="shared" si="28"/>
        <v>0</v>
      </c>
      <c r="R101" s="31"/>
      <c r="S101" s="28">
        <f t="shared" si="20"/>
        <v>0</v>
      </c>
      <c r="T101" s="28">
        <f t="shared" si="23"/>
        <v>0</v>
      </c>
      <c r="U101" s="28">
        <f t="shared" si="21"/>
        <v>0</v>
      </c>
      <c r="V101" s="28">
        <f t="shared" si="22"/>
        <v>0</v>
      </c>
      <c r="W101" s="31">
        <f t="shared" si="19"/>
        <v>0</v>
      </c>
      <c r="Y101" s="827"/>
      <c r="Z101" s="4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4"/>
        <v>0</v>
      </c>
      <c r="L102" s="28">
        <f t="shared" si="18"/>
        <v>-36022</v>
      </c>
      <c r="M102" s="810"/>
      <c r="N102" s="810"/>
      <c r="O102" s="30">
        <f t="shared" si="29"/>
        <v>0</v>
      </c>
      <c r="P102" s="171"/>
      <c r="Q102" s="31">
        <f t="shared" si="28"/>
        <v>0</v>
      </c>
      <c r="R102" s="31"/>
      <c r="S102" s="28">
        <f t="shared" si="20"/>
        <v>0</v>
      </c>
      <c r="T102" s="28">
        <f t="shared" si="23"/>
        <v>0</v>
      </c>
      <c r="U102" s="28">
        <f t="shared" si="21"/>
        <v>0</v>
      </c>
      <c r="V102" s="28">
        <f t="shared" si="22"/>
        <v>0</v>
      </c>
      <c r="W102" s="31">
        <f t="shared" si="19"/>
        <v>0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4"/>
        <v>0</v>
      </c>
      <c r="L103" s="28">
        <f t="shared" si="18"/>
        <v>-36022</v>
      </c>
      <c r="M103" s="810"/>
      <c r="N103" s="810"/>
      <c r="O103" s="30">
        <f t="shared" si="29"/>
        <v>0</v>
      </c>
      <c r="P103" s="179"/>
      <c r="Q103" s="31">
        <f t="shared" si="28"/>
        <v>0</v>
      </c>
      <c r="R103" s="31"/>
      <c r="S103" s="28">
        <f t="shared" si="20"/>
        <v>0</v>
      </c>
      <c r="T103" s="28">
        <f t="shared" si="23"/>
        <v>0</v>
      </c>
      <c r="U103" s="28">
        <f t="shared" si="21"/>
        <v>0</v>
      </c>
      <c r="V103" s="28">
        <f t="shared" si="22"/>
        <v>0</v>
      </c>
      <c r="W103" s="31">
        <f t="shared" si="19"/>
        <v>0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167877</v>
      </c>
      <c r="I105" s="252">
        <f>+SUM(I2:I103)</f>
        <v>45276</v>
      </c>
      <c r="J105" s="252">
        <f>+SUM(J2:J103)</f>
        <v>34400</v>
      </c>
      <c r="K105" s="252">
        <f>SUM(K2:K103)</f>
        <v>247553</v>
      </c>
      <c r="L105" s="253">
        <f>+L103</f>
        <v>-36022</v>
      </c>
      <c r="M105" s="252">
        <f>SUM(M2:M103)</f>
        <v>0</v>
      </c>
      <c r="N105" s="252">
        <f>SUM(N2:N103)</f>
        <v>247553</v>
      </c>
      <c r="O105" s="252"/>
      <c r="P105" s="252">
        <f>SUM(P2:P103)</f>
        <v>0</v>
      </c>
      <c r="Q105" s="252">
        <f>SUM(Q2:Q103)</f>
        <v>0</v>
      </c>
      <c r="R105" s="252">
        <f>SUM(R2:R103)</f>
        <v>-36022</v>
      </c>
      <c r="S105" s="252">
        <f>SUM(S2:S103)</f>
        <v>167877</v>
      </c>
      <c r="T105" s="252">
        <f>+SUM(T2:T103)</f>
        <v>43654</v>
      </c>
      <c r="U105" s="252">
        <f>SUM(U2:U103)</f>
        <v>0</v>
      </c>
      <c r="V105" s="252">
        <f>SUM(V2:V103)</f>
        <v>211531</v>
      </c>
      <c r="W105" s="254">
        <f>+W103</f>
        <v>0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>
        <v>167614</v>
      </c>
      <c r="I106" s="257">
        <v>27339</v>
      </c>
      <c r="J106" s="258"/>
      <c r="K106" s="119"/>
      <c r="M106" s="259"/>
      <c r="N106" s="259"/>
      <c r="O106" s="259"/>
      <c r="P106" s="259">
        <f>J93-8783</f>
        <v>-8783</v>
      </c>
      <c r="S106" s="119">
        <v>131959</v>
      </c>
      <c r="T106" s="116">
        <v>78079</v>
      </c>
      <c r="W106" s="119"/>
      <c r="Y106" s="830"/>
      <c r="Z106" s="4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257">
        <f>H106-H105</f>
        <v>-263</v>
      </c>
      <c r="I107" s="257">
        <f>I106-I105</f>
        <v>-17937</v>
      </c>
      <c r="J107" s="257"/>
      <c r="K107" s="119">
        <f>+K105-2200</f>
        <v>245353</v>
      </c>
      <c r="L107" s="116"/>
      <c r="M107" s="259"/>
      <c r="N107" s="259"/>
      <c r="O107" s="259"/>
      <c r="P107" s="259"/>
      <c r="Q107" s="116"/>
      <c r="R107" s="116"/>
      <c r="S107" s="119">
        <f>S106-S105</f>
        <v>-35918</v>
      </c>
      <c r="T107" s="119">
        <f>T106-T105</f>
        <v>34425</v>
      </c>
      <c r="U107" s="116">
        <v>677</v>
      </c>
      <c r="V107" s="119">
        <f>+V51-U107</f>
        <v>12701</v>
      </c>
      <c r="W107" s="119"/>
      <c r="Y107" s="502" t="s">
        <v>289</v>
      </c>
      <c r="Z107" s="503" t="s">
        <v>289</v>
      </c>
      <c r="AA107" s="504"/>
      <c r="AB107" s="505"/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>
        <f>20500+H107</f>
        <v>20237</v>
      </c>
      <c r="I108" s="257"/>
      <c r="J108" s="258"/>
      <c r="K108" s="119"/>
      <c r="L108" s="116"/>
      <c r="M108" s="259"/>
      <c r="N108" s="259"/>
      <c r="O108" s="259"/>
      <c r="P108" s="259"/>
      <c r="Q108" s="116"/>
      <c r="R108" s="116"/>
      <c r="S108" s="119"/>
      <c r="T108" s="116"/>
      <c r="U108" s="116"/>
      <c r="V108" s="121">
        <v>7</v>
      </c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/>
      <c r="I109" s="257"/>
      <c r="J109" s="260"/>
      <c r="K109" s="119"/>
      <c r="L109" s="119"/>
      <c r="M109" s="259"/>
      <c r="N109" s="259"/>
      <c r="O109" s="259"/>
      <c r="P109" s="259"/>
      <c r="Q109" s="116"/>
      <c r="R109" s="116"/>
      <c r="S109" s="119"/>
      <c r="T109" s="116"/>
      <c r="U109" s="116"/>
      <c r="V109" s="119">
        <f>+V107*V108</f>
        <v>88907</v>
      </c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/>
      <c r="I110" s="260"/>
      <c r="J110" s="260"/>
      <c r="K110" s="119"/>
      <c r="L110" s="116"/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260"/>
      <c r="I111" s="260"/>
      <c r="J111" s="260"/>
      <c r="K111" s="265"/>
      <c r="L111" s="116"/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112321</v>
      </c>
      <c r="J115" s="274">
        <f>SUM(H2:H5)+H14+SUM(H30:H32)+H35+18820</f>
        <v>35273</v>
      </c>
      <c r="K115" s="845">
        <f t="shared" ref="K115:K123" si="30">I115-J115</f>
        <v>77048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0</v>
      </c>
      <c r="J116" s="275">
        <f>I116+0</f>
        <v>0</v>
      </c>
      <c r="K116" s="839">
        <f t="shared" si="30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126501</v>
      </c>
      <c r="J117" s="275">
        <f>I117</f>
        <v>126501</v>
      </c>
      <c r="K117" s="839">
        <f t="shared" si="30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30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30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83075</v>
      </c>
      <c r="J120" s="275">
        <f>I120</f>
        <v>83075</v>
      </c>
      <c r="K120" s="839">
        <f t="shared" si="30"/>
        <v>0</v>
      </c>
      <c r="L120" s="840"/>
      <c r="AJ120" s="109" t="s">
        <v>155</v>
      </c>
      <c r="AK120" s="236">
        <v>169523</v>
      </c>
    </row>
    <row r="121" spans="1:40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109</v>
      </c>
      <c r="J121" s="275">
        <f>I121+0</f>
        <v>109</v>
      </c>
      <c r="K121" s="839">
        <f t="shared" si="30"/>
        <v>0</v>
      </c>
      <c r="L121" s="840"/>
      <c r="AJ121" s="354" t="s">
        <v>135</v>
      </c>
      <c r="AK121" s="355">
        <v>173236</v>
      </c>
    </row>
    <row r="122" spans="1:40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4703</v>
      </c>
      <c r="J122" s="277">
        <f>SUM(I15:I24)+SUM(I38:I43)+4379</f>
        <v>4703</v>
      </c>
      <c r="K122" s="839">
        <f t="shared" si="30"/>
        <v>0</v>
      </c>
      <c r="L122" s="840"/>
      <c r="M122" s="50"/>
      <c r="N122" s="50"/>
      <c r="O122" s="50"/>
      <c r="P122" s="50"/>
      <c r="AJ122" s="109"/>
      <c r="AK122" s="236"/>
    </row>
    <row r="123" spans="1:40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30"/>
        <v>0</v>
      </c>
      <c r="L123" s="840"/>
      <c r="AJ123" s="354"/>
      <c r="AK123" s="355"/>
    </row>
    <row r="124" spans="1:40" ht="13.5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31">I129-J129</f>
        <v>0</v>
      </c>
      <c r="L129" s="854"/>
    </row>
    <row r="130" spans="1:26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31"/>
        <v>1728</v>
      </c>
      <c r="L130" s="854"/>
    </row>
    <row r="131" spans="1:26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31"/>
        <v>0</v>
      </c>
      <c r="L131" s="854"/>
    </row>
    <row r="132" spans="1:26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31"/>
        <v>6594</v>
      </c>
      <c r="L132" s="854"/>
    </row>
    <row r="133" spans="1:26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31"/>
        <v>0</v>
      </c>
      <c r="L133" s="854"/>
    </row>
    <row r="134" spans="1:26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31"/>
        <v>0</v>
      </c>
      <c r="L134" s="854"/>
    </row>
    <row r="135" spans="1:26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31"/>
        <v>0</v>
      </c>
      <c r="L135" s="854"/>
    </row>
    <row r="136" spans="1:26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31"/>
        <v>0</v>
      </c>
      <c r="L136" s="854"/>
    </row>
    <row r="137" spans="1:26" ht="13.5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31"/>
        <v>262</v>
      </c>
      <c r="L137" s="854"/>
      <c r="X137" s="20"/>
      <c r="Z137" s="20"/>
    </row>
    <row r="138" spans="1:26" ht="15.75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x14ac:dyDescent="0.2">
      <c r="G141" s="864" t="s">
        <v>154</v>
      </c>
      <c r="H141" s="295" t="s">
        <v>28</v>
      </c>
      <c r="I141" s="296">
        <f t="shared" ref="I141:K151" si="32">I115+I128</f>
        <v>112321</v>
      </c>
      <c r="J141" s="296">
        <f t="shared" si="32"/>
        <v>35273</v>
      </c>
      <c r="K141" s="867">
        <f t="shared" si="32"/>
        <v>77048</v>
      </c>
      <c r="L141" s="868"/>
      <c r="X141" s="20"/>
      <c r="Z141" s="20"/>
    </row>
    <row r="142" spans="1:26" x14ac:dyDescent="0.2">
      <c r="C142" s="20"/>
      <c r="F142" s="20"/>
      <c r="G142" s="865"/>
      <c r="H142" s="297" t="s">
        <v>80</v>
      </c>
      <c r="I142" s="298">
        <f t="shared" si="32"/>
        <v>0</v>
      </c>
      <c r="J142" s="298">
        <f t="shared" si="32"/>
        <v>0</v>
      </c>
      <c r="K142" s="869">
        <f t="shared" si="32"/>
        <v>0</v>
      </c>
      <c r="L142" s="870"/>
      <c r="X142" s="20"/>
      <c r="Z142" s="20"/>
    </row>
    <row r="143" spans="1:26" x14ac:dyDescent="0.2">
      <c r="G143" s="865"/>
      <c r="H143" s="297" t="s">
        <v>61</v>
      </c>
      <c r="I143" s="298">
        <f t="shared" si="32"/>
        <v>128229</v>
      </c>
      <c r="J143" s="298">
        <f t="shared" si="32"/>
        <v>126501</v>
      </c>
      <c r="K143" s="869">
        <f t="shared" si="32"/>
        <v>1728</v>
      </c>
      <c r="L143" s="870"/>
      <c r="X143" s="20"/>
      <c r="Z143" s="20"/>
    </row>
    <row r="144" spans="1:26" x14ac:dyDescent="0.2">
      <c r="G144" s="865"/>
      <c r="H144" s="297" t="s">
        <v>156</v>
      </c>
      <c r="I144" s="298">
        <f t="shared" si="32"/>
        <v>14000</v>
      </c>
      <c r="J144" s="298">
        <f t="shared" si="32"/>
        <v>14000</v>
      </c>
      <c r="K144" s="869">
        <f t="shared" si="32"/>
        <v>0</v>
      </c>
      <c r="L144" s="870"/>
      <c r="X144" s="20"/>
      <c r="Z144" s="20"/>
    </row>
    <row r="145" spans="3:26" ht="13.5" thickBot="1" x14ac:dyDescent="0.25">
      <c r="G145" s="866"/>
      <c r="H145" s="299" t="s">
        <v>157</v>
      </c>
      <c r="I145" s="300">
        <f t="shared" si="32"/>
        <v>67705</v>
      </c>
      <c r="J145" s="300">
        <f t="shared" si="32"/>
        <v>61111</v>
      </c>
      <c r="K145" s="871">
        <f t="shared" si="32"/>
        <v>6594</v>
      </c>
      <c r="L145" s="872"/>
      <c r="X145" s="20"/>
      <c r="Z145" s="20"/>
    </row>
    <row r="146" spans="3:26" x14ac:dyDescent="0.2">
      <c r="G146" s="879" t="s">
        <v>158</v>
      </c>
      <c r="H146" s="295" t="s">
        <v>28</v>
      </c>
      <c r="I146" s="296">
        <f t="shared" si="32"/>
        <v>83090</v>
      </c>
      <c r="J146" s="296">
        <f t="shared" si="32"/>
        <v>83090</v>
      </c>
      <c r="K146" s="867">
        <f t="shared" si="32"/>
        <v>0</v>
      </c>
      <c r="L146" s="868"/>
      <c r="X146" s="20"/>
      <c r="Z146" s="20"/>
    </row>
    <row r="147" spans="3:26" x14ac:dyDescent="0.2">
      <c r="G147" s="880"/>
      <c r="H147" s="297" t="s">
        <v>80</v>
      </c>
      <c r="I147" s="301">
        <f t="shared" si="32"/>
        <v>109</v>
      </c>
      <c r="J147" s="301">
        <f t="shared" si="32"/>
        <v>109</v>
      </c>
      <c r="K147" s="869">
        <f t="shared" si="32"/>
        <v>0</v>
      </c>
      <c r="L147" s="870"/>
      <c r="X147" s="20"/>
      <c r="Z147" s="20"/>
    </row>
    <row r="148" spans="3:26" x14ac:dyDescent="0.2">
      <c r="G148" s="880"/>
      <c r="H148" s="297" t="s">
        <v>61</v>
      </c>
      <c r="I148" s="301">
        <f t="shared" si="32"/>
        <v>4703</v>
      </c>
      <c r="J148" s="301">
        <f t="shared" si="32"/>
        <v>4703</v>
      </c>
      <c r="K148" s="869">
        <f t="shared" si="32"/>
        <v>0</v>
      </c>
      <c r="L148" s="870"/>
      <c r="X148" s="20"/>
      <c r="Z148" s="20"/>
    </row>
    <row r="149" spans="3:26" x14ac:dyDescent="0.2">
      <c r="G149" s="880"/>
      <c r="H149" s="297" t="s">
        <v>156</v>
      </c>
      <c r="I149" s="301">
        <f t="shared" si="32"/>
        <v>38756</v>
      </c>
      <c r="J149" s="301">
        <f t="shared" si="32"/>
        <v>38756</v>
      </c>
      <c r="K149" s="869">
        <f t="shared" si="32"/>
        <v>0</v>
      </c>
      <c r="L149" s="870"/>
      <c r="X149" s="20"/>
      <c r="Z149" s="20"/>
    </row>
    <row r="150" spans="3:26" ht="13.5" thickBot="1" x14ac:dyDescent="0.25">
      <c r="G150" s="881"/>
      <c r="H150" s="299" t="s">
        <v>157</v>
      </c>
      <c r="I150" s="302">
        <f t="shared" si="32"/>
        <v>1700</v>
      </c>
      <c r="J150" s="302">
        <f t="shared" si="32"/>
        <v>1438</v>
      </c>
      <c r="K150" s="871">
        <f t="shared" si="32"/>
        <v>262</v>
      </c>
      <c r="L150" s="872"/>
      <c r="X150" s="20"/>
      <c r="Z150" s="20"/>
    </row>
    <row r="151" spans="3:26" ht="15.75" thickBot="1" x14ac:dyDescent="0.25">
      <c r="G151" s="847" t="s">
        <v>162</v>
      </c>
      <c r="H151" s="873"/>
      <c r="I151" s="303">
        <f t="shared" si="32"/>
        <v>300000</v>
      </c>
      <c r="J151" s="303">
        <f t="shared" si="32"/>
        <v>108136</v>
      </c>
      <c r="K151" s="874">
        <f>I151-J151</f>
        <v>191864</v>
      </c>
      <c r="L151" s="873"/>
      <c r="X151" s="20"/>
      <c r="Z151" s="20"/>
    </row>
    <row r="152" spans="3:26" ht="15.75" thickBot="1" x14ac:dyDescent="0.3">
      <c r="G152" s="875" t="s">
        <v>163</v>
      </c>
      <c r="H152" s="876"/>
      <c r="I152" s="304">
        <f>SUM(I141:I150)</f>
        <v>450613</v>
      </c>
      <c r="J152" s="304">
        <f>SUM(J141:J150)</f>
        <v>364981</v>
      </c>
      <c r="K152" s="877">
        <f>SUM(K141:L150)</f>
        <v>85632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J156" s="307">
        <v>28391</v>
      </c>
      <c r="Q156" s="20">
        <v>8815</v>
      </c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H158" s="307" t="s">
        <v>249</v>
      </c>
      <c r="I158" s="307">
        <v>20500</v>
      </c>
      <c r="J158" s="18">
        <f>I158/I162</f>
        <v>0.46345488662310946</v>
      </c>
      <c r="L158" s="80">
        <f>J156*$J$158</f>
        <v>13157.9476861167</v>
      </c>
      <c r="N158" s="20" t="s">
        <v>256</v>
      </c>
      <c r="P158" s="20">
        <v>360</v>
      </c>
      <c r="Q158" s="20">
        <v>4733</v>
      </c>
      <c r="R158" s="18">
        <f>Q158/Q162</f>
        <v>0.34464428748270587</v>
      </c>
      <c r="S158" s="18"/>
      <c r="T158" s="80">
        <f>Q156*R158</f>
        <v>3038.0393941600523</v>
      </c>
      <c r="X158" s="20"/>
      <c r="Z158" s="20"/>
    </row>
    <row r="159" spans="3:26" x14ac:dyDescent="0.2">
      <c r="C159" s="20"/>
      <c r="F159" s="20"/>
      <c r="H159" s="307" t="s">
        <v>250</v>
      </c>
      <c r="I159" s="307">
        <v>13733</v>
      </c>
      <c r="J159" s="18">
        <f>I159/I162</f>
        <v>0.31046955892659328</v>
      </c>
      <c r="L159" s="80">
        <f>J156*$J$159</f>
        <v>8814.541247484909</v>
      </c>
      <c r="P159" s="20">
        <v>361</v>
      </c>
      <c r="Q159" s="20">
        <v>1500</v>
      </c>
      <c r="R159" s="18">
        <f>Q159/Q162</f>
        <v>0.10922595208621569</v>
      </c>
      <c r="S159" s="18"/>
      <c r="T159" s="80">
        <f>Q156*R159</f>
        <v>962.82676763999132</v>
      </c>
      <c r="X159" s="20"/>
      <c r="Z159" s="20"/>
    </row>
    <row r="160" spans="3:26" x14ac:dyDescent="0.2">
      <c r="C160" s="20"/>
      <c r="F160" s="20"/>
      <c r="H160" s="307" t="s">
        <v>251</v>
      </c>
      <c r="I160" s="307">
        <v>10000</v>
      </c>
      <c r="J160" s="18">
        <f>I160/I162</f>
        <v>0.22607555445029728</v>
      </c>
      <c r="L160" s="80">
        <f>J156*$J$160</f>
        <v>6418.5110663983905</v>
      </c>
      <c r="P160" s="20">
        <v>363</v>
      </c>
      <c r="Q160" s="20">
        <v>7500</v>
      </c>
      <c r="R160" s="18">
        <f>Q160/Q162</f>
        <v>0.54612976043107841</v>
      </c>
      <c r="S160" s="18"/>
      <c r="T160" s="80">
        <f>Q156*R160</f>
        <v>4814.1338381999558</v>
      </c>
      <c r="X160" s="20"/>
      <c r="Z160" s="20"/>
    </row>
    <row r="161" spans="3:26" x14ac:dyDescent="0.2">
      <c r="C161" s="20"/>
      <c r="F161" s="20"/>
      <c r="J161" s="20"/>
      <c r="X161" s="20"/>
      <c r="Z161" s="20"/>
    </row>
    <row r="162" spans="3:26" x14ac:dyDescent="0.2">
      <c r="C162" s="20"/>
      <c r="F162" s="20"/>
      <c r="I162" s="307">
        <f>SUM(I158:I160)</f>
        <v>44233</v>
      </c>
      <c r="J162" s="20"/>
      <c r="Q162" s="20">
        <f>SUM(Q158:Q160)</f>
        <v>13733</v>
      </c>
      <c r="X162" s="20"/>
      <c r="Z162" s="20"/>
    </row>
    <row r="163" spans="3:26" x14ac:dyDescent="0.2">
      <c r="C163" s="20"/>
      <c r="F163" s="20"/>
      <c r="J163" s="20"/>
      <c r="X163" s="20"/>
      <c r="Z163" s="20"/>
    </row>
    <row r="164" spans="3:26" x14ac:dyDescent="0.2">
      <c r="C164" s="20"/>
      <c r="F164" s="20"/>
      <c r="J164" s="20"/>
      <c r="X164" s="20"/>
      <c r="Z164" s="20"/>
    </row>
    <row r="165" spans="3:26" x14ac:dyDescent="0.2">
      <c r="C165" s="20"/>
      <c r="F165" s="20"/>
      <c r="H165" s="458"/>
      <c r="I165" s="459" t="s">
        <v>252</v>
      </c>
      <c r="J165" s="78">
        <v>14260</v>
      </c>
      <c r="K165" s="78"/>
      <c r="P165" s="20" t="s">
        <v>254</v>
      </c>
      <c r="Q165" s="20">
        <v>6506</v>
      </c>
      <c r="X165" s="20"/>
      <c r="Z165" s="20"/>
    </row>
    <row r="166" spans="3:26" x14ac:dyDescent="0.2">
      <c r="C166" s="20"/>
      <c r="F166" s="20"/>
      <c r="H166" s="458" t="s">
        <v>253</v>
      </c>
      <c r="J166" s="20"/>
      <c r="N166" s="20" t="s">
        <v>255</v>
      </c>
      <c r="X166" s="20"/>
      <c r="Z166" s="20"/>
    </row>
    <row r="167" spans="3:26" x14ac:dyDescent="0.2">
      <c r="C167" s="20"/>
      <c r="F167" s="20"/>
      <c r="H167" s="458">
        <v>355</v>
      </c>
      <c r="I167" s="307">
        <v>5205</v>
      </c>
      <c r="J167" s="18">
        <f>I167/I170</f>
        <v>0.22430510665804784</v>
      </c>
      <c r="K167" s="80">
        <f>J165*J167</f>
        <v>3198.5908209437621</v>
      </c>
      <c r="N167" s="20">
        <v>364</v>
      </c>
      <c r="P167" s="20">
        <v>3600</v>
      </c>
      <c r="Q167" s="461">
        <f>P167/P170</f>
        <v>0.34003967129498441</v>
      </c>
      <c r="R167" s="80">
        <f>Q165*Q167</f>
        <v>2212.2981014451684</v>
      </c>
      <c r="X167" s="20"/>
      <c r="Z167" s="20"/>
    </row>
    <row r="168" spans="3:26" x14ac:dyDescent="0.2">
      <c r="C168" s="20"/>
      <c r="F168" s="20"/>
      <c r="H168" s="458">
        <v>356</v>
      </c>
      <c r="I168" s="307">
        <v>18000</v>
      </c>
      <c r="J168" s="18">
        <f>I168/I170</f>
        <v>0.77569489334195219</v>
      </c>
      <c r="K168" s="80">
        <f>J165*J168</f>
        <v>11061.409179056238</v>
      </c>
      <c r="N168" s="20">
        <v>365</v>
      </c>
      <c r="P168" s="20">
        <v>6000</v>
      </c>
      <c r="Q168" s="461">
        <f>P168/P170</f>
        <v>0.56673278549164074</v>
      </c>
      <c r="R168" s="80">
        <f>Q165*Q168</f>
        <v>3687.1635024086145</v>
      </c>
      <c r="X168" s="20"/>
      <c r="Z168" s="20"/>
    </row>
    <row r="169" spans="3:26" x14ac:dyDescent="0.2">
      <c r="C169" s="20"/>
      <c r="F169" s="20"/>
      <c r="H169" s="460"/>
      <c r="J169" s="20"/>
      <c r="N169" s="20" t="s">
        <v>257</v>
      </c>
      <c r="P169" s="20">
        <v>987</v>
      </c>
      <c r="Q169" s="461">
        <f>P169/P170</f>
        <v>9.3227543213374897E-2</v>
      </c>
      <c r="R169" s="80">
        <f>Q165*Q169</f>
        <v>606.53839614621711</v>
      </c>
      <c r="X169" s="20"/>
      <c r="Z169" s="20"/>
    </row>
    <row r="170" spans="3:26" x14ac:dyDescent="0.2">
      <c r="C170" s="20"/>
      <c r="F170" s="20"/>
      <c r="H170" s="458"/>
      <c r="I170" s="458">
        <f>SUM(I167:I168)</f>
        <v>23205</v>
      </c>
      <c r="J170" s="78"/>
      <c r="K170" s="78"/>
      <c r="P170" s="20">
        <f>SUM(P167:P169)</f>
        <v>10587</v>
      </c>
      <c r="X170" s="20"/>
      <c r="Z170" s="20"/>
    </row>
    <row r="171" spans="3:26" ht="15" x14ac:dyDescent="0.25">
      <c r="C171" s="20"/>
      <c r="F171" s="20"/>
      <c r="G171" s="305"/>
      <c r="H171" s="306"/>
      <c r="J171" s="20"/>
      <c r="X171" s="20"/>
      <c r="Z171" s="20"/>
    </row>
    <row r="172" spans="3:26" x14ac:dyDescent="0.2">
      <c r="C172" s="20"/>
      <c r="F172" s="20"/>
      <c r="J172" s="20"/>
      <c r="X172" s="20"/>
      <c r="Z172" s="20"/>
    </row>
    <row r="173" spans="3:26" x14ac:dyDescent="0.2">
      <c r="C173" s="20"/>
      <c r="F173" s="20"/>
      <c r="J173" s="20"/>
      <c r="X173" s="20"/>
      <c r="Z173" s="20"/>
    </row>
  </sheetData>
  <autoFilter ref="A1:AN152">
    <filterColumn colId="27" showButton="0"/>
    <filterColumn colId="28" showButton="0"/>
    <filterColumn colId="29" showButton="0"/>
  </autoFilter>
  <mergeCells count="87"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25:H125"/>
    <mergeCell ref="K125:L125"/>
    <mergeCell ref="G126:H126"/>
    <mergeCell ref="I126:L126"/>
    <mergeCell ref="K127:L127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A113:A114"/>
    <mergeCell ref="B113:B114"/>
    <mergeCell ref="G113:H113"/>
    <mergeCell ref="I113:L113"/>
    <mergeCell ref="K114:L114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209" priority="3" operator="lessThan">
      <formula>$AA$78</formula>
    </cfRule>
    <cfRule type="cellIs" dxfId="208" priority="5" operator="greaterThan">
      <formula>$AE$78</formula>
    </cfRule>
  </conditionalFormatting>
  <conditionalFormatting sqref="AA79">
    <cfRule type="cellIs" dxfId="207" priority="4" operator="greaterThan">
      <formula>$AE$79</formula>
    </cfRule>
  </conditionalFormatting>
  <conditionalFormatting sqref="AA80">
    <cfRule type="cellIs" dxfId="206" priority="2" operator="greaterThan">
      <formula>$AE$79</formula>
    </cfRule>
  </conditionalFormatting>
  <conditionalFormatting sqref="AU4:AU23">
    <cfRule type="cellIs" dxfId="205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86"/>
  <sheetViews>
    <sheetView topLeftCell="Y46" zoomScale="90" zoomScaleNormal="90" workbookViewId="0">
      <selection activeCell="AD62" sqref="AD62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 t="shared" ref="K2:K33" si="0">SUM(H2:J2)</f>
        <v>3000</v>
      </c>
      <c r="L2" s="28">
        <f>AA4-K2</f>
        <v>210760</v>
      </c>
      <c r="M2" s="29"/>
      <c r="N2" s="798">
        <f>SUM(K2:K26)</f>
        <v>169555</v>
      </c>
      <c r="O2" s="30">
        <f t="shared" ref="O2:O17" si="1">+K2/$N$2</f>
        <v>1.7693373831500103E-2</v>
      </c>
      <c r="P2" s="801"/>
      <c r="Q2" s="31">
        <f t="shared" ref="Q2:Q15" si="2">IF($P$2=0,0,(-($P$2*O2)+K2)-K2)</f>
        <v>0</v>
      </c>
      <c r="R2" s="31"/>
      <c r="S2" s="28">
        <f t="shared" ref="S2:S33" si="3">IF(H2&lt;&gt;0,+H2+Q2+R2,0)</f>
        <v>3000</v>
      </c>
      <c r="T2" s="28">
        <f t="shared" ref="T2:T33" si="4">IF(I2&lt;&gt;0,+I2+Q2+R2,0)</f>
        <v>0</v>
      </c>
      <c r="U2" s="28">
        <f t="shared" ref="U2:U33" si="5">IF(J2&lt;&gt;0,+J2+Q2+R2,0)</f>
        <v>0</v>
      </c>
      <c r="V2" s="28">
        <f t="shared" ref="V2:V33" si="6">+S2+T2+U2</f>
        <v>3000</v>
      </c>
      <c r="W2" s="31">
        <f>Z24-V2</f>
        <v>210760</v>
      </c>
      <c r="X2" s="32">
        <f t="shared" ref="X2:X17" si="7"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44" t="s">
        <v>31</v>
      </c>
      <c r="AE2" s="744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si="0"/>
        <v>1100</v>
      </c>
      <c r="L3" s="28">
        <f t="shared" ref="L3:L34" si="8">+L2-K3</f>
        <v>209660</v>
      </c>
      <c r="M3" s="29"/>
      <c r="N3" s="799"/>
      <c r="O3" s="30">
        <f t="shared" si="1"/>
        <v>6.4875704048833714E-3</v>
      </c>
      <c r="P3" s="802"/>
      <c r="Q3" s="31">
        <f t="shared" si="2"/>
        <v>0</v>
      </c>
      <c r="R3" s="31"/>
      <c r="S3" s="28">
        <f t="shared" si="3"/>
        <v>0</v>
      </c>
      <c r="T3" s="28">
        <f t="shared" si="4"/>
        <v>1100</v>
      </c>
      <c r="U3" s="28">
        <f t="shared" si="5"/>
        <v>0</v>
      </c>
      <c r="V3" s="28">
        <f t="shared" si="6"/>
        <v>1100</v>
      </c>
      <c r="W3" s="31">
        <f t="shared" ref="W3:W34" si="9">+W2-V3</f>
        <v>209660</v>
      </c>
      <c r="X3" s="32">
        <f t="shared" si="7"/>
        <v>0</v>
      </c>
      <c r="Y3" s="37" t="s">
        <v>34</v>
      </c>
      <c r="Z3" s="38">
        <f>ROUND((Z13*57%),0)</f>
        <v>284145</v>
      </c>
      <c r="AA3" s="39">
        <f>ROUND((+Z14*0.57),0)</f>
        <v>283357</v>
      </c>
      <c r="AB3" s="454">
        <v>79541</v>
      </c>
      <c r="AC3" s="455">
        <v>146374</v>
      </c>
      <c r="AD3" s="40">
        <v>45600</v>
      </c>
      <c r="AE3" s="736">
        <f>SUM(AB3:AD3)</f>
        <v>271515</v>
      </c>
      <c r="AF3" s="41">
        <f>AA3-AE3</f>
        <v>11842</v>
      </c>
      <c r="AG3" s="42">
        <f>AA3-AB3-AC3-AD3</f>
        <v>11842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8"/>
        <v>198467</v>
      </c>
      <c r="M4" s="29"/>
      <c r="N4" s="799"/>
      <c r="O4" s="30">
        <f t="shared" si="1"/>
        <v>6.6013977765326887E-2</v>
      </c>
      <c r="P4" s="802"/>
      <c r="Q4" s="31">
        <f t="shared" si="2"/>
        <v>0</v>
      </c>
      <c r="R4" s="31"/>
      <c r="S4" s="28">
        <f t="shared" si="3"/>
        <v>0</v>
      </c>
      <c r="T4" s="28">
        <f t="shared" si="4"/>
        <v>11193</v>
      </c>
      <c r="U4" s="28">
        <f t="shared" si="5"/>
        <v>0</v>
      </c>
      <c r="V4" s="28">
        <f t="shared" si="6"/>
        <v>11193</v>
      </c>
      <c r="W4" s="31">
        <f t="shared" si="9"/>
        <v>198467</v>
      </c>
      <c r="X4" s="32">
        <f t="shared" si="7"/>
        <v>0</v>
      </c>
      <c r="Y4" s="37" t="s">
        <v>38</v>
      </c>
      <c r="Z4" s="38">
        <f>ROUND((Z13*43%),0)</f>
        <v>214355</v>
      </c>
      <c r="AA4" s="39">
        <f>ROUND((+Z14*0.43),0)</f>
        <v>213760</v>
      </c>
      <c r="AB4" s="43">
        <f>T105</f>
        <v>27715</v>
      </c>
      <c r="AC4" s="43">
        <f>S105</f>
        <v>151147</v>
      </c>
      <c r="AD4" s="40">
        <f>U105</f>
        <v>34400</v>
      </c>
      <c r="AE4" s="736">
        <f>SUM(AB4:AD4)</f>
        <v>213262</v>
      </c>
      <c r="AF4" s="41">
        <f>AA4-AE4</f>
        <v>498</v>
      </c>
      <c r="AG4" s="42">
        <f>AA4-AB4-AC4-AD4</f>
        <v>498</v>
      </c>
      <c r="AH4" s="751">
        <f>AG4/1000</f>
        <v>0.498</v>
      </c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8"/>
        <v>197267</v>
      </c>
      <c r="M5" s="29"/>
      <c r="N5" s="799"/>
      <c r="O5" s="30">
        <f t="shared" si="1"/>
        <v>7.0773495326000415E-3</v>
      </c>
      <c r="P5" s="802"/>
      <c r="Q5" s="31">
        <f t="shared" si="2"/>
        <v>0</v>
      </c>
      <c r="R5" s="31"/>
      <c r="S5" s="28">
        <f t="shared" si="3"/>
        <v>0</v>
      </c>
      <c r="T5" s="28">
        <f t="shared" si="4"/>
        <v>1200</v>
      </c>
      <c r="U5" s="28">
        <f t="shared" si="5"/>
        <v>0</v>
      </c>
      <c r="V5" s="28">
        <f t="shared" si="6"/>
        <v>1200</v>
      </c>
      <c r="W5" s="31">
        <f t="shared" si="9"/>
        <v>197267</v>
      </c>
      <c r="X5" s="32">
        <f t="shared" si="7"/>
        <v>0</v>
      </c>
      <c r="Y5" s="44" t="s">
        <v>41</v>
      </c>
      <c r="Z5" s="38">
        <f>SUM(Z3:Z4)</f>
        <v>498500</v>
      </c>
      <c r="AA5" s="45">
        <f>SUM(AA3:AA4)</f>
        <v>497117</v>
      </c>
      <c r="AB5" s="46">
        <f>SUM(AB3:AB4)</f>
        <v>107256</v>
      </c>
      <c r="AC5" s="41">
        <f>SUM(AC3:AC4)</f>
        <v>297521</v>
      </c>
      <c r="AD5" s="40">
        <f>SUM(AD3:AD4)</f>
        <v>80000</v>
      </c>
      <c r="AE5" s="41">
        <f>SUM(AB5:AD5)</f>
        <v>484777</v>
      </c>
      <c r="AF5" s="47">
        <f>SUM(AF3:AF4)</f>
        <v>12340</v>
      </c>
      <c r="AG5" s="47">
        <f>SUM(AG3:AG4)</f>
        <v>12340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8"/>
        <v>185267</v>
      </c>
      <c r="M6" s="29"/>
      <c r="N6" s="799"/>
      <c r="O6" s="30">
        <f t="shared" si="1"/>
        <v>7.0773495326000413E-2</v>
      </c>
      <c r="P6" s="802"/>
      <c r="Q6" s="31">
        <f t="shared" si="2"/>
        <v>0</v>
      </c>
      <c r="R6" s="48"/>
      <c r="S6" s="28">
        <f t="shared" si="3"/>
        <v>12000</v>
      </c>
      <c r="T6" s="28">
        <f t="shared" si="4"/>
        <v>0</v>
      </c>
      <c r="U6" s="28">
        <f t="shared" si="5"/>
        <v>0</v>
      </c>
      <c r="V6" s="28">
        <f t="shared" si="6"/>
        <v>12000</v>
      </c>
      <c r="W6" s="31">
        <f t="shared" si="9"/>
        <v>185267</v>
      </c>
      <c r="X6" s="32">
        <f t="shared" si="7"/>
        <v>0</v>
      </c>
      <c r="Z6" s="49">
        <f>5000*43%</f>
        <v>2150</v>
      </c>
      <c r="AA6" s="50"/>
      <c r="AB6" s="17"/>
      <c r="AC6" s="50"/>
      <c r="AD6" s="51">
        <f>80000-AD4</f>
        <v>45600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1940+11997</f>
        <v>13937</v>
      </c>
      <c r="I7" s="518">
        <f>800+460+2803</f>
        <v>4063</v>
      </c>
      <c r="J7" s="26"/>
      <c r="K7" s="27">
        <f t="shared" si="0"/>
        <v>18000</v>
      </c>
      <c r="L7" s="28">
        <f t="shared" si="8"/>
        <v>167267</v>
      </c>
      <c r="M7" s="29"/>
      <c r="N7" s="799"/>
      <c r="O7" s="30">
        <f t="shared" si="1"/>
        <v>0.10616024298900062</v>
      </c>
      <c r="P7" s="802"/>
      <c r="Q7" s="31">
        <f t="shared" si="2"/>
        <v>0</v>
      </c>
      <c r="R7" s="31"/>
      <c r="S7" s="28">
        <f t="shared" si="3"/>
        <v>13937</v>
      </c>
      <c r="T7" s="28">
        <f t="shared" si="4"/>
        <v>4063</v>
      </c>
      <c r="U7" s="28">
        <f t="shared" si="5"/>
        <v>0</v>
      </c>
      <c r="V7" s="28">
        <f t="shared" si="6"/>
        <v>18000</v>
      </c>
      <c r="W7" s="31">
        <f t="shared" si="9"/>
        <v>167267</v>
      </c>
      <c r="X7" s="32">
        <f t="shared" si="7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8"/>
        <v>164767</v>
      </c>
      <c r="M8" s="29"/>
      <c r="N8" s="799"/>
      <c r="O8" s="30">
        <f t="shared" si="1"/>
        <v>1.4744478192916752E-2</v>
      </c>
      <c r="P8" s="802"/>
      <c r="Q8" s="31">
        <f t="shared" si="2"/>
        <v>0</v>
      </c>
      <c r="R8" s="31"/>
      <c r="S8" s="28">
        <f t="shared" si="3"/>
        <v>2500</v>
      </c>
      <c r="T8" s="28">
        <f t="shared" si="4"/>
        <v>0</v>
      </c>
      <c r="U8" s="28">
        <f t="shared" si="5"/>
        <v>0</v>
      </c>
      <c r="V8" s="28">
        <f t="shared" si="6"/>
        <v>2500</v>
      </c>
      <c r="W8" s="31">
        <f t="shared" si="9"/>
        <v>164767</v>
      </c>
      <c r="X8" s="32">
        <f t="shared" si="7"/>
        <v>0</v>
      </c>
      <c r="Y8" s="14" t="s">
        <v>47</v>
      </c>
      <c r="Z8" s="732">
        <f ca="1">TODAY()+1</f>
        <v>41938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361</v>
      </c>
      <c r="I9" s="518">
        <v>1839</v>
      </c>
      <c r="J9" s="26"/>
      <c r="K9" s="27">
        <f t="shared" si="0"/>
        <v>2200</v>
      </c>
      <c r="L9" s="28">
        <f t="shared" si="8"/>
        <v>162567</v>
      </c>
      <c r="M9" s="29"/>
      <c r="N9" s="799"/>
      <c r="O9" s="30">
        <f t="shared" si="1"/>
        <v>1.2975140809766743E-2</v>
      </c>
      <c r="P9" s="802"/>
      <c r="Q9" s="31">
        <f t="shared" si="2"/>
        <v>0</v>
      </c>
      <c r="R9" s="31"/>
      <c r="S9" s="28">
        <f t="shared" si="3"/>
        <v>361</v>
      </c>
      <c r="T9" s="28">
        <f t="shared" si="4"/>
        <v>1839</v>
      </c>
      <c r="U9" s="28">
        <f t="shared" si="5"/>
        <v>0</v>
      </c>
      <c r="V9" s="28">
        <f t="shared" si="6"/>
        <v>2200</v>
      </c>
      <c r="W9" s="31">
        <f t="shared" si="9"/>
        <v>162567</v>
      </c>
      <c r="X9" s="32">
        <f t="shared" si="7"/>
        <v>0</v>
      </c>
      <c r="Y9" s="14" t="s">
        <v>189</v>
      </c>
      <c r="Z9" s="58">
        <v>498500</v>
      </c>
      <c r="AA9" s="59">
        <f>Z9*14.65/14.73</f>
        <v>495792.60013577732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8"/>
        <v>142567</v>
      </c>
      <c r="M10" s="29"/>
      <c r="N10" s="799"/>
      <c r="O10" s="30">
        <f t="shared" si="1"/>
        <v>0.11795582554333402</v>
      </c>
      <c r="P10" s="802"/>
      <c r="Q10" s="31">
        <f t="shared" si="2"/>
        <v>0</v>
      </c>
      <c r="R10" s="31">
        <v>0</v>
      </c>
      <c r="S10" s="28">
        <f t="shared" si="3"/>
        <v>15000</v>
      </c>
      <c r="T10" s="28">
        <f t="shared" si="4"/>
        <v>5000</v>
      </c>
      <c r="U10" s="28">
        <f t="shared" si="5"/>
        <v>0</v>
      </c>
      <c r="V10" s="28">
        <f t="shared" si="6"/>
        <v>20000</v>
      </c>
      <c r="W10" s="31">
        <f t="shared" si="9"/>
        <v>142567</v>
      </c>
      <c r="X10" s="32">
        <f t="shared" si="7"/>
        <v>0</v>
      </c>
      <c r="Y10" s="14" t="s">
        <v>191</v>
      </c>
      <c r="Z10" s="58">
        <f>ROUND((Z9*Z30),0)</f>
        <v>497117</v>
      </c>
      <c r="AA10" s="59">
        <f>Z10*14.65/14.73</f>
        <v>494417.11133740662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8"/>
        <v>124567</v>
      </c>
      <c r="M11" s="29"/>
      <c r="N11" s="799"/>
      <c r="O11" s="30">
        <f t="shared" si="1"/>
        <v>0.10616024298900062</v>
      </c>
      <c r="P11" s="802"/>
      <c r="Q11" s="31">
        <f t="shared" si="2"/>
        <v>0</v>
      </c>
      <c r="R11" s="31">
        <v>0</v>
      </c>
      <c r="S11" s="28">
        <f t="shared" si="3"/>
        <v>18000</v>
      </c>
      <c r="T11" s="28">
        <f t="shared" si="4"/>
        <v>0</v>
      </c>
      <c r="U11" s="28">
        <f t="shared" si="5"/>
        <v>0</v>
      </c>
      <c r="V11" s="28">
        <f t="shared" si="6"/>
        <v>18000</v>
      </c>
      <c r="W11" s="31">
        <f t="shared" si="9"/>
        <v>124567</v>
      </c>
      <c r="X11" s="32">
        <f t="shared" si="7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8"/>
        <v>120967</v>
      </c>
      <c r="M12" s="29"/>
      <c r="N12" s="799"/>
      <c r="O12" s="30">
        <f t="shared" si="1"/>
        <v>2.1232048597800125E-2</v>
      </c>
      <c r="P12" s="802"/>
      <c r="Q12" s="31">
        <f t="shared" si="2"/>
        <v>0</v>
      </c>
      <c r="R12" s="31">
        <v>0</v>
      </c>
      <c r="S12" s="28">
        <f t="shared" si="3"/>
        <v>3600</v>
      </c>
      <c r="T12" s="28">
        <f t="shared" si="4"/>
        <v>0</v>
      </c>
      <c r="U12" s="28">
        <f t="shared" si="5"/>
        <v>0</v>
      </c>
      <c r="V12" s="28">
        <f t="shared" si="6"/>
        <v>3600</v>
      </c>
      <c r="W12" s="31">
        <f t="shared" si="9"/>
        <v>120967</v>
      </c>
      <c r="X12" s="32">
        <f t="shared" si="7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8"/>
        <v>114967</v>
      </c>
      <c r="M13" s="29"/>
      <c r="N13" s="799"/>
      <c r="O13" s="30">
        <f t="shared" si="1"/>
        <v>3.5386747663000206E-2</v>
      </c>
      <c r="P13" s="802"/>
      <c r="Q13" s="31">
        <f t="shared" si="2"/>
        <v>0</v>
      </c>
      <c r="R13" s="31">
        <v>0</v>
      </c>
      <c r="S13" s="28">
        <f t="shared" si="3"/>
        <v>6000</v>
      </c>
      <c r="T13" s="28">
        <f t="shared" si="4"/>
        <v>0</v>
      </c>
      <c r="U13" s="28">
        <f t="shared" si="5"/>
        <v>0</v>
      </c>
      <c r="V13" s="28">
        <f t="shared" si="6"/>
        <v>6000</v>
      </c>
      <c r="W13" s="31">
        <f t="shared" si="9"/>
        <v>114967</v>
      </c>
      <c r="X13" s="32">
        <f t="shared" si="7"/>
        <v>0</v>
      </c>
      <c r="Y13" s="14" t="s">
        <v>67</v>
      </c>
      <c r="Z13" s="67">
        <f>Z14/Z30</f>
        <v>498499.79560537456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3362</v>
      </c>
      <c r="I14" s="26">
        <v>0</v>
      </c>
      <c r="J14" s="26"/>
      <c r="K14" s="27">
        <f t="shared" si="0"/>
        <v>3362</v>
      </c>
      <c r="L14" s="28">
        <f t="shared" si="8"/>
        <v>111605</v>
      </c>
      <c r="M14" s="29"/>
      <c r="N14" s="799"/>
      <c r="O14" s="30">
        <f t="shared" si="1"/>
        <v>1.9828374273834447E-2</v>
      </c>
      <c r="P14" s="802"/>
      <c r="Q14" s="31">
        <f t="shared" si="2"/>
        <v>0</v>
      </c>
      <c r="R14" s="31">
        <v>0</v>
      </c>
      <c r="S14" s="28">
        <f t="shared" si="3"/>
        <v>3362</v>
      </c>
      <c r="T14" s="28">
        <f t="shared" si="4"/>
        <v>0</v>
      </c>
      <c r="U14" s="28">
        <f t="shared" si="5"/>
        <v>0</v>
      </c>
      <c r="V14" s="28">
        <f t="shared" si="6"/>
        <v>3362</v>
      </c>
      <c r="W14" s="31">
        <f t="shared" si="9"/>
        <v>111605</v>
      </c>
      <c r="X14" s="32">
        <f t="shared" si="7"/>
        <v>0</v>
      </c>
      <c r="Y14" s="14" t="s">
        <v>70</v>
      </c>
      <c r="Z14" s="67">
        <f>+Z10-(Z11+Z12)</f>
        <v>497117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6000</v>
      </c>
      <c r="I15" s="26"/>
      <c r="J15" s="26"/>
      <c r="K15" s="27">
        <f t="shared" si="0"/>
        <v>6000</v>
      </c>
      <c r="L15" s="28">
        <f t="shared" si="8"/>
        <v>105605</v>
      </c>
      <c r="M15" s="29"/>
      <c r="N15" s="799"/>
      <c r="O15" s="30">
        <f t="shared" si="1"/>
        <v>3.5386747663000206E-2</v>
      </c>
      <c r="P15" s="802"/>
      <c r="Q15" s="31">
        <f t="shared" si="2"/>
        <v>0</v>
      </c>
      <c r="R15" s="31">
        <v>0</v>
      </c>
      <c r="S15" s="28">
        <f t="shared" si="3"/>
        <v>6000</v>
      </c>
      <c r="T15" s="28">
        <f t="shared" si="4"/>
        <v>0</v>
      </c>
      <c r="U15" s="28">
        <f t="shared" si="5"/>
        <v>0</v>
      </c>
      <c r="V15" s="28">
        <f t="shared" si="6"/>
        <v>6000</v>
      </c>
      <c r="W15" s="31">
        <f t="shared" si="9"/>
        <v>105605</v>
      </c>
      <c r="X15" s="32">
        <f t="shared" si="7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/>
      <c r="I16" s="26"/>
      <c r="J16" s="26"/>
      <c r="K16" s="27">
        <f t="shared" si="0"/>
        <v>0</v>
      </c>
      <c r="L16" s="28">
        <f t="shared" si="8"/>
        <v>105605</v>
      </c>
      <c r="M16" s="29"/>
      <c r="N16" s="799"/>
      <c r="O16" s="30">
        <f t="shared" si="1"/>
        <v>0</v>
      </c>
      <c r="P16" s="802"/>
      <c r="Q16" s="31">
        <v>0</v>
      </c>
      <c r="R16" s="31">
        <v>0</v>
      </c>
      <c r="S16" s="28">
        <f t="shared" si="3"/>
        <v>0</v>
      </c>
      <c r="T16" s="28">
        <f t="shared" si="4"/>
        <v>0</v>
      </c>
      <c r="U16" s="28">
        <f t="shared" si="5"/>
        <v>0</v>
      </c>
      <c r="V16" s="28">
        <f t="shared" si="6"/>
        <v>0</v>
      </c>
      <c r="W16" s="31">
        <f t="shared" si="9"/>
        <v>105605</v>
      </c>
      <c r="X16" s="32">
        <f t="shared" si="7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3000</v>
      </c>
      <c r="J17" s="26"/>
      <c r="K17" s="27">
        <f t="shared" si="0"/>
        <v>3000</v>
      </c>
      <c r="L17" s="28">
        <f t="shared" si="8"/>
        <v>102605</v>
      </c>
      <c r="M17" s="29"/>
      <c r="N17" s="799"/>
      <c r="O17" s="30">
        <f t="shared" si="1"/>
        <v>1.7693373831500103E-2</v>
      </c>
      <c r="P17" s="802"/>
      <c r="Q17" s="31">
        <f t="shared" ref="Q17:Q29" si="10">IF($P$2=0,0,(-($P$2*O17)+K17)-K17)</f>
        <v>0</v>
      </c>
      <c r="R17" s="31">
        <v>0</v>
      </c>
      <c r="S17" s="28">
        <f t="shared" si="3"/>
        <v>0</v>
      </c>
      <c r="T17" s="28">
        <f t="shared" si="4"/>
        <v>3000</v>
      </c>
      <c r="U17" s="28">
        <f t="shared" si="5"/>
        <v>0</v>
      </c>
      <c r="V17" s="28">
        <f t="shared" si="6"/>
        <v>3000</v>
      </c>
      <c r="W17" s="31">
        <f t="shared" si="9"/>
        <v>102605</v>
      </c>
      <c r="X17" s="32">
        <f t="shared" si="7"/>
        <v>0</v>
      </c>
      <c r="AA17" s="35"/>
      <c r="AB17" s="790">
        <f>+Z61-Z24-((Z12+Z11)*0.43)</f>
        <v>-498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320</v>
      </c>
      <c r="J18" s="26"/>
      <c r="K18" s="27">
        <f t="shared" si="0"/>
        <v>320</v>
      </c>
      <c r="L18" s="28">
        <f t="shared" si="8"/>
        <v>102285</v>
      </c>
      <c r="M18" s="29"/>
      <c r="N18" s="799"/>
      <c r="O18" s="30"/>
      <c r="P18" s="802"/>
      <c r="Q18" s="31">
        <f t="shared" si="10"/>
        <v>0</v>
      </c>
      <c r="R18" s="31">
        <v>0</v>
      </c>
      <c r="S18" s="28">
        <f t="shared" si="3"/>
        <v>0</v>
      </c>
      <c r="T18" s="28">
        <f t="shared" si="4"/>
        <v>320</v>
      </c>
      <c r="U18" s="28">
        <f t="shared" si="5"/>
        <v>0</v>
      </c>
      <c r="V18" s="28">
        <f t="shared" si="6"/>
        <v>320</v>
      </c>
      <c r="W18" s="31">
        <f t="shared" si="9"/>
        <v>102285</v>
      </c>
      <c r="X18" s="32"/>
      <c r="Y18" s="14" t="s">
        <v>77</v>
      </c>
      <c r="Z18" s="71">
        <f>ROUND(Z14*0.43,0)</f>
        <v>213760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2680</v>
      </c>
      <c r="I19" s="26"/>
      <c r="J19" s="26"/>
      <c r="K19" s="27">
        <f t="shared" si="0"/>
        <v>2680</v>
      </c>
      <c r="L19" s="28">
        <f t="shared" si="8"/>
        <v>99605</v>
      </c>
      <c r="M19" s="29"/>
      <c r="N19" s="799"/>
      <c r="O19" s="30">
        <f>+K19/$N$2</f>
        <v>1.5806080622806758E-2</v>
      </c>
      <c r="P19" s="802"/>
      <c r="Q19" s="31">
        <f t="shared" si="10"/>
        <v>0</v>
      </c>
      <c r="R19" s="31">
        <v>0</v>
      </c>
      <c r="S19" s="28">
        <f t="shared" si="3"/>
        <v>2680</v>
      </c>
      <c r="T19" s="28">
        <f t="shared" si="4"/>
        <v>0</v>
      </c>
      <c r="U19" s="28">
        <f t="shared" si="5"/>
        <v>0</v>
      </c>
      <c r="V19" s="28">
        <f t="shared" si="6"/>
        <v>2680</v>
      </c>
      <c r="W19" s="31">
        <f t="shared" si="9"/>
        <v>99605</v>
      </c>
      <c r="X19" s="32">
        <f>W19-L19</f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8"/>
        <v>98105</v>
      </c>
      <c r="M20" s="29"/>
      <c r="N20" s="799"/>
      <c r="O20" s="30">
        <f>+K20/$N$2</f>
        <v>8.8466869157500516E-3</v>
      </c>
      <c r="P20" s="802"/>
      <c r="Q20" s="31">
        <f t="shared" si="10"/>
        <v>0</v>
      </c>
      <c r="R20" s="31">
        <v>0</v>
      </c>
      <c r="S20" s="28">
        <f t="shared" si="3"/>
        <v>1500</v>
      </c>
      <c r="T20" s="28">
        <f t="shared" si="4"/>
        <v>0</v>
      </c>
      <c r="U20" s="28">
        <f t="shared" si="5"/>
        <v>0</v>
      </c>
      <c r="V20" s="28">
        <f t="shared" si="6"/>
        <v>1500</v>
      </c>
      <c r="W20" s="31">
        <f t="shared" si="9"/>
        <v>98105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8"/>
        <v>98105</v>
      </c>
      <c r="M21" s="29"/>
      <c r="N21" s="799"/>
      <c r="O21" s="30"/>
      <c r="P21" s="802"/>
      <c r="Q21" s="31">
        <f t="shared" si="10"/>
        <v>0</v>
      </c>
      <c r="R21" s="31">
        <v>0</v>
      </c>
      <c r="S21" s="28">
        <f t="shared" si="3"/>
        <v>0</v>
      </c>
      <c r="T21" s="28">
        <f t="shared" si="4"/>
        <v>0</v>
      </c>
      <c r="U21" s="28">
        <f t="shared" si="5"/>
        <v>0</v>
      </c>
      <c r="V21" s="28">
        <f t="shared" si="6"/>
        <v>0</v>
      </c>
      <c r="W21" s="31">
        <f t="shared" si="9"/>
        <v>98105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8"/>
        <v>90605</v>
      </c>
      <c r="M22" s="29"/>
      <c r="N22" s="799"/>
      <c r="O22" s="30">
        <f>+K22/$N$2</f>
        <v>4.4233434578750258E-2</v>
      </c>
      <c r="P22" s="802"/>
      <c r="Q22" s="31">
        <f t="shared" si="10"/>
        <v>0</v>
      </c>
      <c r="R22" s="31">
        <v>0</v>
      </c>
      <c r="S22" s="28">
        <f t="shared" si="3"/>
        <v>7500</v>
      </c>
      <c r="T22" s="28">
        <f t="shared" si="4"/>
        <v>0</v>
      </c>
      <c r="U22" s="28">
        <f t="shared" si="5"/>
        <v>0</v>
      </c>
      <c r="V22" s="28">
        <f t="shared" si="6"/>
        <v>7500</v>
      </c>
      <c r="W22" s="31">
        <f t="shared" si="9"/>
        <v>90605</v>
      </c>
      <c r="X22" s="32">
        <f>W22-L22</f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8"/>
        <v>90605</v>
      </c>
      <c r="M23" s="29"/>
      <c r="N23" s="799"/>
      <c r="O23" s="30"/>
      <c r="P23" s="802"/>
      <c r="Q23" s="31">
        <f t="shared" si="10"/>
        <v>0</v>
      </c>
      <c r="R23" s="31"/>
      <c r="S23" s="28">
        <f t="shared" si="3"/>
        <v>0</v>
      </c>
      <c r="T23" s="28">
        <f t="shared" si="4"/>
        <v>0</v>
      </c>
      <c r="U23" s="28">
        <f t="shared" si="5"/>
        <v>0</v>
      </c>
      <c r="V23" s="28">
        <f t="shared" si="6"/>
        <v>0</v>
      </c>
      <c r="W23" s="31">
        <f t="shared" si="9"/>
        <v>90605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8"/>
        <v>90605</v>
      </c>
      <c r="M24" s="29"/>
      <c r="N24" s="799"/>
      <c r="O24" s="30">
        <f t="shared" ref="O24:O29" si="11">+K24/$N$2</f>
        <v>0</v>
      </c>
      <c r="P24" s="802"/>
      <c r="Q24" s="31">
        <f t="shared" si="10"/>
        <v>0</v>
      </c>
      <c r="R24" s="31">
        <v>0</v>
      </c>
      <c r="S24" s="28">
        <f t="shared" si="3"/>
        <v>0</v>
      </c>
      <c r="T24" s="28">
        <f t="shared" si="4"/>
        <v>0</v>
      </c>
      <c r="U24" s="28">
        <f t="shared" si="5"/>
        <v>0</v>
      </c>
      <c r="V24" s="28">
        <f t="shared" si="6"/>
        <v>0</v>
      </c>
      <c r="W24" s="31">
        <f t="shared" si="9"/>
        <v>90605</v>
      </c>
      <c r="X24" s="32">
        <f t="shared" ref="X24:X39" si="12">W24-L24</f>
        <v>0</v>
      </c>
      <c r="Y24" s="74" t="s">
        <v>169</v>
      </c>
      <c r="Z24" s="680">
        <f>+Z18+Z19</f>
        <v>213760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8"/>
        <v>78605</v>
      </c>
      <c r="M25" s="29"/>
      <c r="N25" s="799"/>
      <c r="O25" s="30">
        <f t="shared" si="11"/>
        <v>7.0773495326000413E-2</v>
      </c>
      <c r="P25" s="802"/>
      <c r="Q25" s="31">
        <f t="shared" si="10"/>
        <v>0</v>
      </c>
      <c r="R25" s="31"/>
      <c r="S25" s="28">
        <f t="shared" si="3"/>
        <v>12000</v>
      </c>
      <c r="T25" s="28">
        <f t="shared" si="4"/>
        <v>0</v>
      </c>
      <c r="U25" s="28">
        <f t="shared" si="5"/>
        <v>0</v>
      </c>
      <c r="V25" s="28">
        <f t="shared" si="6"/>
        <v>12000</v>
      </c>
      <c r="W25" s="31">
        <f t="shared" si="9"/>
        <v>78605</v>
      </c>
      <c r="X25" s="32">
        <f t="shared" si="12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8"/>
        <v>44205</v>
      </c>
      <c r="M26" s="86"/>
      <c r="N26" s="800"/>
      <c r="O26" s="87">
        <f t="shared" si="11"/>
        <v>0.2028840199345345</v>
      </c>
      <c r="P26" s="803"/>
      <c r="Q26" s="144">
        <f t="shared" si="10"/>
        <v>0</v>
      </c>
      <c r="R26" s="144"/>
      <c r="S26" s="423">
        <f t="shared" si="3"/>
        <v>0</v>
      </c>
      <c r="T26" s="423">
        <f t="shared" si="4"/>
        <v>0</v>
      </c>
      <c r="U26" s="423">
        <f t="shared" si="5"/>
        <v>34400</v>
      </c>
      <c r="V26" s="423">
        <f t="shared" si="6"/>
        <v>34400</v>
      </c>
      <c r="W26" s="144">
        <f t="shared" si="9"/>
        <v>44205</v>
      </c>
      <c r="X26" s="32">
        <f t="shared" si="12"/>
        <v>0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8"/>
        <v>44205</v>
      </c>
      <c r="M27" s="95"/>
      <c r="N27" s="804">
        <f>SUM(K27:K49)</f>
        <v>41707</v>
      </c>
      <c r="O27" s="96">
        <f t="shared" si="11"/>
        <v>0</v>
      </c>
      <c r="P27" s="805"/>
      <c r="Q27" s="97">
        <f t="shared" si="10"/>
        <v>0</v>
      </c>
      <c r="R27" s="157"/>
      <c r="S27" s="422">
        <f t="shared" si="3"/>
        <v>0</v>
      </c>
      <c r="T27" s="422">
        <f t="shared" si="4"/>
        <v>0</v>
      </c>
      <c r="U27" s="422">
        <f t="shared" si="5"/>
        <v>0</v>
      </c>
      <c r="V27" s="422">
        <f t="shared" si="6"/>
        <v>0</v>
      </c>
      <c r="W27" s="97">
        <f t="shared" si="9"/>
        <v>44205</v>
      </c>
      <c r="X27" s="32">
        <f t="shared" si="12"/>
        <v>0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8"/>
        <v>44205</v>
      </c>
      <c r="M28" s="29"/>
      <c r="N28" s="799"/>
      <c r="O28" s="30">
        <f t="shared" si="11"/>
        <v>0</v>
      </c>
      <c r="P28" s="802"/>
      <c r="Q28" s="31">
        <f t="shared" si="10"/>
        <v>0</v>
      </c>
      <c r="R28" s="31"/>
      <c r="S28" s="28">
        <f t="shared" si="3"/>
        <v>0</v>
      </c>
      <c r="T28" s="28">
        <f t="shared" si="4"/>
        <v>0</v>
      </c>
      <c r="U28" s="28">
        <f t="shared" si="5"/>
        <v>0</v>
      </c>
      <c r="V28" s="28">
        <f t="shared" si="6"/>
        <v>0</v>
      </c>
      <c r="W28" s="31">
        <f t="shared" si="9"/>
        <v>44205</v>
      </c>
      <c r="X28" s="32">
        <f t="shared" si="12"/>
        <v>0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8"/>
        <v>44205</v>
      </c>
      <c r="M29" s="29"/>
      <c r="N29" s="799"/>
      <c r="O29" s="30">
        <f t="shared" si="11"/>
        <v>0</v>
      </c>
      <c r="P29" s="802"/>
      <c r="Q29" s="31">
        <f t="shared" si="10"/>
        <v>0</v>
      </c>
      <c r="R29" s="31"/>
      <c r="S29" s="28">
        <f t="shared" si="3"/>
        <v>0</v>
      </c>
      <c r="T29" s="28">
        <f t="shared" si="4"/>
        <v>0</v>
      </c>
      <c r="U29" s="28">
        <f t="shared" si="5"/>
        <v>0</v>
      </c>
      <c r="V29" s="28">
        <f t="shared" si="6"/>
        <v>0</v>
      </c>
      <c r="W29" s="31">
        <f t="shared" si="9"/>
        <v>44205</v>
      </c>
      <c r="X29" s="32">
        <f t="shared" si="12"/>
        <v>0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8"/>
        <v>44205</v>
      </c>
      <c r="M30" s="29"/>
      <c r="N30" s="799"/>
      <c r="O30" s="30">
        <f t="shared" ref="O30:O39" si="13">+K30/$N$27</f>
        <v>0</v>
      </c>
      <c r="P30" s="802"/>
      <c r="Q30" s="31">
        <f t="shared" ref="Q30:Q39" si="14">IF($P$30=0,0,(-($P$30*O30)+K30)-K30)</f>
        <v>0</v>
      </c>
      <c r="R30" s="31"/>
      <c r="S30" s="28">
        <f t="shared" si="3"/>
        <v>0</v>
      </c>
      <c r="T30" s="28">
        <f t="shared" si="4"/>
        <v>0</v>
      </c>
      <c r="U30" s="28">
        <f t="shared" si="5"/>
        <v>0</v>
      </c>
      <c r="V30" s="28">
        <f t="shared" si="6"/>
        <v>0</v>
      </c>
      <c r="W30" s="31">
        <f t="shared" si="9"/>
        <v>44205</v>
      </c>
      <c r="X30" s="32">
        <f t="shared" si="12"/>
        <v>0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8"/>
        <v>44205</v>
      </c>
      <c r="M31" s="29"/>
      <c r="N31" s="799"/>
      <c r="O31" s="30">
        <f t="shared" si="13"/>
        <v>0</v>
      </c>
      <c r="P31" s="802"/>
      <c r="Q31" s="31">
        <f t="shared" si="14"/>
        <v>0</v>
      </c>
      <c r="R31" s="31"/>
      <c r="S31" s="28">
        <f t="shared" si="3"/>
        <v>0</v>
      </c>
      <c r="T31" s="28">
        <f t="shared" si="4"/>
        <v>0</v>
      </c>
      <c r="U31" s="28">
        <f t="shared" si="5"/>
        <v>0</v>
      </c>
      <c r="V31" s="28">
        <f t="shared" si="6"/>
        <v>0</v>
      </c>
      <c r="W31" s="31">
        <f t="shared" si="9"/>
        <v>44205</v>
      </c>
      <c r="X31" s="32">
        <f t="shared" si="12"/>
        <v>0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8"/>
        <v>44205</v>
      </c>
      <c r="M32" s="29"/>
      <c r="N32" s="799"/>
      <c r="O32" s="30">
        <f t="shared" si="13"/>
        <v>0</v>
      </c>
      <c r="P32" s="802"/>
      <c r="Q32" s="31">
        <f t="shared" si="14"/>
        <v>0</v>
      </c>
      <c r="R32" s="31"/>
      <c r="S32" s="28">
        <f t="shared" si="3"/>
        <v>0</v>
      </c>
      <c r="T32" s="28">
        <f t="shared" si="4"/>
        <v>0</v>
      </c>
      <c r="U32" s="28">
        <f t="shared" si="5"/>
        <v>0</v>
      </c>
      <c r="V32" s="28">
        <f t="shared" si="6"/>
        <v>0</v>
      </c>
      <c r="W32" s="31">
        <f t="shared" si="9"/>
        <v>44205</v>
      </c>
      <c r="X32" s="32">
        <f t="shared" si="12"/>
        <v>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8"/>
        <v>44205</v>
      </c>
      <c r="M33" s="29"/>
      <c r="N33" s="799"/>
      <c r="O33" s="30">
        <f t="shared" si="13"/>
        <v>0</v>
      </c>
      <c r="P33" s="802"/>
      <c r="Q33" s="31">
        <f t="shared" si="14"/>
        <v>0</v>
      </c>
      <c r="R33" s="31"/>
      <c r="S33" s="28">
        <f t="shared" si="3"/>
        <v>0</v>
      </c>
      <c r="T33" s="28">
        <f t="shared" si="4"/>
        <v>0</v>
      </c>
      <c r="U33" s="28">
        <f t="shared" si="5"/>
        <v>0</v>
      </c>
      <c r="V33" s="28">
        <f t="shared" si="6"/>
        <v>0</v>
      </c>
      <c r="W33" s="31">
        <f t="shared" si="9"/>
        <v>44205</v>
      </c>
      <c r="X33" s="32">
        <f t="shared" si="12"/>
        <v>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ref="K34:K65" si="15">SUM(H34:J34)</f>
        <v>0</v>
      </c>
      <c r="L34" s="28">
        <f t="shared" si="8"/>
        <v>44205</v>
      </c>
      <c r="M34" s="29"/>
      <c r="N34" s="799"/>
      <c r="O34" s="30">
        <f t="shared" si="13"/>
        <v>0</v>
      </c>
      <c r="P34" s="802"/>
      <c r="Q34" s="31">
        <f t="shared" si="14"/>
        <v>0</v>
      </c>
      <c r="R34" s="31"/>
      <c r="S34" s="28">
        <f t="shared" ref="S34:S65" si="16">IF(H34&lt;&gt;0,+H34+Q34+R34,0)</f>
        <v>0</v>
      </c>
      <c r="T34" s="28">
        <f t="shared" ref="T34:T65" si="17">IF(I34&lt;&gt;0,+I34+Q34+R34,0)</f>
        <v>0</v>
      </c>
      <c r="U34" s="28">
        <f t="shared" ref="U34:U65" si="18">IF(J34&lt;&gt;0,+J34+Q34+R34,0)</f>
        <v>0</v>
      </c>
      <c r="V34" s="28">
        <f t="shared" ref="V34:V65" si="19">+S34+T34+U34</f>
        <v>0</v>
      </c>
      <c r="W34" s="31">
        <f t="shared" si="9"/>
        <v>44205</v>
      </c>
      <c r="X34" s="32">
        <f t="shared" si="12"/>
        <v>0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15"/>
        <v>0</v>
      </c>
      <c r="L35" s="28">
        <f t="shared" ref="L35:L66" si="20">+L34-K35</f>
        <v>44205</v>
      </c>
      <c r="M35" s="29"/>
      <c r="N35" s="799"/>
      <c r="O35" s="30">
        <f t="shared" si="13"/>
        <v>0</v>
      </c>
      <c r="P35" s="802"/>
      <c r="Q35" s="31">
        <f t="shared" si="14"/>
        <v>0</v>
      </c>
      <c r="R35" s="31"/>
      <c r="S35" s="28">
        <f t="shared" si="16"/>
        <v>0</v>
      </c>
      <c r="T35" s="28">
        <f t="shared" si="17"/>
        <v>0</v>
      </c>
      <c r="U35" s="28">
        <f t="shared" si="18"/>
        <v>0</v>
      </c>
      <c r="V35" s="28">
        <f t="shared" si="19"/>
        <v>0</v>
      </c>
      <c r="W35" s="31">
        <f t="shared" ref="W35:W66" si="21">+W34-V35</f>
        <v>44205</v>
      </c>
      <c r="X35" s="32">
        <f t="shared" si="12"/>
        <v>0</v>
      </c>
      <c r="Y35" s="117" t="s">
        <v>56</v>
      </c>
      <c r="Z35" s="113">
        <f>Z34*43%</f>
        <v>34400</v>
      </c>
      <c r="AA35" s="113">
        <f>AD4-Z35</f>
        <v>0</v>
      </c>
      <c r="AB35" s="113">
        <f>Z35+AA35</f>
        <v>34400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15"/>
        <v>0</v>
      </c>
      <c r="L36" s="28">
        <f t="shared" si="20"/>
        <v>44205</v>
      </c>
      <c r="M36" s="29"/>
      <c r="N36" s="799"/>
      <c r="O36" s="30">
        <f t="shared" si="13"/>
        <v>0</v>
      </c>
      <c r="P36" s="802"/>
      <c r="Q36" s="31">
        <f t="shared" si="14"/>
        <v>0</v>
      </c>
      <c r="R36" s="31"/>
      <c r="S36" s="28">
        <f t="shared" si="16"/>
        <v>0</v>
      </c>
      <c r="T36" s="28">
        <f t="shared" si="17"/>
        <v>0</v>
      </c>
      <c r="U36" s="28">
        <f t="shared" si="18"/>
        <v>0</v>
      </c>
      <c r="V36" s="28">
        <f t="shared" si="19"/>
        <v>0</v>
      </c>
      <c r="W36" s="31">
        <f t="shared" si="21"/>
        <v>44205</v>
      </c>
      <c r="X36" s="32">
        <f t="shared" si="12"/>
        <v>0</v>
      </c>
      <c r="Y36" s="117" t="s">
        <v>60</v>
      </c>
      <c r="Z36" s="113">
        <f>Z34*57%</f>
        <v>45599.999999999993</v>
      </c>
      <c r="AA36" s="113">
        <f>AD3-Z36</f>
        <v>0</v>
      </c>
      <c r="AB36" s="113">
        <f>Z36+AA36</f>
        <v>45599.999999999993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15"/>
        <v>0</v>
      </c>
      <c r="L37" s="28">
        <f t="shared" si="20"/>
        <v>44205</v>
      </c>
      <c r="M37" s="29"/>
      <c r="N37" s="799"/>
      <c r="O37" s="30">
        <f t="shared" si="13"/>
        <v>0</v>
      </c>
      <c r="P37" s="802"/>
      <c r="Q37" s="31">
        <f t="shared" si="14"/>
        <v>0</v>
      </c>
      <c r="R37" s="31"/>
      <c r="S37" s="28">
        <f t="shared" si="16"/>
        <v>0</v>
      </c>
      <c r="T37" s="28">
        <f t="shared" si="17"/>
        <v>0</v>
      </c>
      <c r="U37" s="28">
        <f t="shared" si="18"/>
        <v>0</v>
      </c>
      <c r="V37" s="28">
        <f t="shared" si="19"/>
        <v>0</v>
      </c>
      <c r="W37" s="31">
        <f t="shared" si="21"/>
        <v>44205</v>
      </c>
      <c r="X37" s="32">
        <f t="shared" si="12"/>
        <v>0</v>
      </c>
      <c r="Y37" s="117" t="s">
        <v>94</v>
      </c>
      <c r="Z37" s="113">
        <f>+Z35+Z36</f>
        <v>80000</v>
      </c>
      <c r="AA37" s="113">
        <f>SUM(AA35:AA36)</f>
        <v>0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518"/>
      <c r="J38" s="26"/>
      <c r="K38" s="27">
        <f t="shared" si="15"/>
        <v>11207</v>
      </c>
      <c r="L38" s="28">
        <f t="shared" si="20"/>
        <v>32998</v>
      </c>
      <c r="M38" s="29"/>
      <c r="N38" s="799"/>
      <c r="O38" s="30">
        <f t="shared" si="13"/>
        <v>0.26870789076174262</v>
      </c>
      <c r="P38" s="802"/>
      <c r="Q38" s="31">
        <f t="shared" si="14"/>
        <v>0</v>
      </c>
      <c r="R38" s="31"/>
      <c r="S38" s="28">
        <f t="shared" si="16"/>
        <v>11207</v>
      </c>
      <c r="T38" s="28">
        <f t="shared" si="17"/>
        <v>0</v>
      </c>
      <c r="U38" s="28">
        <f t="shared" si="18"/>
        <v>0</v>
      </c>
      <c r="V38" s="28">
        <f t="shared" si="19"/>
        <v>11207</v>
      </c>
      <c r="W38" s="31">
        <f t="shared" si="21"/>
        <v>32998</v>
      </c>
      <c r="X38" s="32">
        <f t="shared" si="12"/>
        <v>0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15"/>
        <v>0</v>
      </c>
      <c r="L39" s="28">
        <f t="shared" si="20"/>
        <v>32998</v>
      </c>
      <c r="M39" s="29"/>
      <c r="N39" s="799"/>
      <c r="O39" s="30">
        <f t="shared" si="13"/>
        <v>0</v>
      </c>
      <c r="P39" s="802"/>
      <c r="Q39" s="31">
        <f t="shared" si="14"/>
        <v>0</v>
      </c>
      <c r="R39" s="31"/>
      <c r="S39" s="28">
        <f t="shared" si="16"/>
        <v>0</v>
      </c>
      <c r="T39" s="28">
        <f t="shared" si="17"/>
        <v>0</v>
      </c>
      <c r="U39" s="28">
        <f t="shared" si="18"/>
        <v>0</v>
      </c>
      <c r="V39" s="28">
        <f t="shared" si="19"/>
        <v>0</v>
      </c>
      <c r="W39" s="31">
        <f t="shared" si="21"/>
        <v>32998</v>
      </c>
      <c r="X39" s="32">
        <f t="shared" si="12"/>
        <v>0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15"/>
        <v>0</v>
      </c>
      <c r="L40" s="28">
        <f t="shared" si="20"/>
        <v>32998</v>
      </c>
      <c r="M40" s="29"/>
      <c r="N40" s="799"/>
      <c r="O40" s="30"/>
      <c r="P40" s="802"/>
      <c r="Q40" s="31"/>
      <c r="R40" s="31"/>
      <c r="S40" s="28">
        <f t="shared" si="16"/>
        <v>0</v>
      </c>
      <c r="T40" s="28">
        <f t="shared" si="17"/>
        <v>0</v>
      </c>
      <c r="U40" s="28">
        <f t="shared" si="18"/>
        <v>0</v>
      </c>
      <c r="V40" s="28">
        <f t="shared" si="19"/>
        <v>0</v>
      </c>
      <c r="W40" s="31">
        <f t="shared" si="21"/>
        <v>32998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75</v>
      </c>
      <c r="G41" s="101" t="s">
        <v>76</v>
      </c>
      <c r="H41" s="518">
        <v>5500</v>
      </c>
      <c r="I41" s="26"/>
      <c r="J41" s="26"/>
      <c r="K41" s="27">
        <f t="shared" si="15"/>
        <v>5500</v>
      </c>
      <c r="L41" s="28">
        <f t="shared" si="20"/>
        <v>27498</v>
      </c>
      <c r="M41" s="29"/>
      <c r="N41" s="799"/>
      <c r="O41" s="30">
        <f t="shared" ref="O41:O47" si="22">+K41/$N$27</f>
        <v>0.13187234756755462</v>
      </c>
      <c r="P41" s="802"/>
      <c r="Q41" s="31">
        <f t="shared" ref="Q41:Q57" si="23">IF($P$30=0,0,(-($P$30*O41)+K41)-K41)</f>
        <v>0</v>
      </c>
      <c r="R41" s="31"/>
      <c r="S41" s="28">
        <f t="shared" si="16"/>
        <v>5500</v>
      </c>
      <c r="T41" s="28">
        <f t="shared" si="17"/>
        <v>0</v>
      </c>
      <c r="U41" s="28">
        <f t="shared" si="18"/>
        <v>0</v>
      </c>
      <c r="V41" s="28">
        <f t="shared" si="19"/>
        <v>5500</v>
      </c>
      <c r="W41" s="31">
        <f t="shared" si="21"/>
        <v>27498</v>
      </c>
      <c r="X41" s="32">
        <f t="shared" ref="X41:X47" si="24">W41-L41</f>
        <v>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15000</v>
      </c>
      <c r="I42" s="26"/>
      <c r="J42" s="26"/>
      <c r="K42" s="27">
        <f t="shared" si="15"/>
        <v>15000</v>
      </c>
      <c r="L42" s="28">
        <f t="shared" si="20"/>
        <v>12498</v>
      </c>
      <c r="M42" s="29"/>
      <c r="N42" s="799"/>
      <c r="O42" s="30">
        <f t="shared" si="22"/>
        <v>0.35965185700242164</v>
      </c>
      <c r="P42" s="802"/>
      <c r="Q42" s="31">
        <f t="shared" si="23"/>
        <v>0</v>
      </c>
      <c r="R42" s="31"/>
      <c r="S42" s="28">
        <f t="shared" si="16"/>
        <v>15000</v>
      </c>
      <c r="T42" s="28">
        <f t="shared" si="17"/>
        <v>0</v>
      </c>
      <c r="U42" s="28">
        <f t="shared" si="18"/>
        <v>0</v>
      </c>
      <c r="V42" s="28">
        <f t="shared" si="19"/>
        <v>15000</v>
      </c>
      <c r="W42" s="31">
        <f t="shared" si="21"/>
        <v>12498</v>
      </c>
      <c r="X42" s="32">
        <f t="shared" si="24"/>
        <v>0</v>
      </c>
      <c r="Y42" s="74" t="s">
        <v>96</v>
      </c>
      <c r="Z42" s="75">
        <v>35500</v>
      </c>
      <c r="AA42" s="129">
        <f>+H7+H8+H17+H18+H19+H22+H32+H33+H43+H44+H45+H53</f>
        <v>28617</v>
      </c>
      <c r="AB42" s="129">
        <f>+I7+I8+I17+I18+I19+I22+I32+I33+I43+I44+I45+I53</f>
        <v>7383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15"/>
        <v>0</v>
      </c>
      <c r="L43" s="28">
        <f t="shared" si="20"/>
        <v>12498</v>
      </c>
      <c r="M43" s="29"/>
      <c r="N43" s="799"/>
      <c r="O43" s="30">
        <f t="shared" si="22"/>
        <v>0</v>
      </c>
      <c r="P43" s="802"/>
      <c r="Q43" s="31">
        <f t="shared" si="23"/>
        <v>0</v>
      </c>
      <c r="R43" s="31"/>
      <c r="S43" s="28">
        <f t="shared" si="16"/>
        <v>0</v>
      </c>
      <c r="T43" s="28">
        <f t="shared" si="17"/>
        <v>0</v>
      </c>
      <c r="U43" s="28">
        <f t="shared" si="18"/>
        <v>0</v>
      </c>
      <c r="V43" s="28">
        <f t="shared" si="19"/>
        <v>0</v>
      </c>
      <c r="W43" s="31">
        <f t="shared" si="21"/>
        <v>12498</v>
      </c>
      <c r="X43" s="32">
        <f t="shared" si="24"/>
        <v>0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15"/>
        <v>0</v>
      </c>
      <c r="L44" s="28">
        <f t="shared" si="20"/>
        <v>12498</v>
      </c>
      <c r="M44" s="29"/>
      <c r="N44" s="799"/>
      <c r="O44" s="30">
        <f t="shared" si="22"/>
        <v>0</v>
      </c>
      <c r="P44" s="802"/>
      <c r="Q44" s="31">
        <f t="shared" si="23"/>
        <v>0</v>
      </c>
      <c r="R44" s="31"/>
      <c r="S44" s="28">
        <f t="shared" si="16"/>
        <v>0</v>
      </c>
      <c r="T44" s="28">
        <f t="shared" si="17"/>
        <v>0</v>
      </c>
      <c r="U44" s="28">
        <f t="shared" si="18"/>
        <v>0</v>
      </c>
      <c r="V44" s="28">
        <f t="shared" si="19"/>
        <v>0</v>
      </c>
      <c r="W44" s="31">
        <f t="shared" si="21"/>
        <v>12498</v>
      </c>
      <c r="X44" s="32">
        <f t="shared" si="24"/>
        <v>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15"/>
        <v>0</v>
      </c>
      <c r="L45" s="28">
        <f t="shared" si="20"/>
        <v>12498</v>
      </c>
      <c r="M45" s="29"/>
      <c r="N45" s="799"/>
      <c r="O45" s="30">
        <f t="shared" si="22"/>
        <v>0</v>
      </c>
      <c r="P45" s="802"/>
      <c r="Q45" s="31">
        <f t="shared" si="23"/>
        <v>0</v>
      </c>
      <c r="R45" s="31"/>
      <c r="S45" s="28">
        <f t="shared" si="16"/>
        <v>0</v>
      </c>
      <c r="T45" s="28">
        <f t="shared" si="17"/>
        <v>0</v>
      </c>
      <c r="U45" s="28">
        <f t="shared" si="18"/>
        <v>0</v>
      </c>
      <c r="V45" s="28">
        <f t="shared" si="19"/>
        <v>0</v>
      </c>
      <c r="W45" s="31">
        <f t="shared" si="21"/>
        <v>12498</v>
      </c>
      <c r="X45" s="32">
        <f t="shared" si="24"/>
        <v>0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15"/>
        <v>10000</v>
      </c>
      <c r="L46" s="28">
        <f t="shared" si="20"/>
        <v>2498</v>
      </c>
      <c r="M46" s="29"/>
      <c r="N46" s="799"/>
      <c r="O46" s="30">
        <f t="shared" si="22"/>
        <v>0.2397679046682811</v>
      </c>
      <c r="P46" s="802"/>
      <c r="Q46" s="31">
        <f t="shared" si="23"/>
        <v>0</v>
      </c>
      <c r="R46" s="31">
        <v>0</v>
      </c>
      <c r="S46" s="28">
        <f t="shared" si="16"/>
        <v>10000</v>
      </c>
      <c r="T46" s="28">
        <f t="shared" si="17"/>
        <v>0</v>
      </c>
      <c r="U46" s="28">
        <f t="shared" si="18"/>
        <v>0</v>
      </c>
      <c r="V46" s="28">
        <f t="shared" si="19"/>
        <v>10000</v>
      </c>
      <c r="W46" s="31">
        <f t="shared" si="21"/>
        <v>2498</v>
      </c>
      <c r="X46" s="32">
        <f t="shared" si="24"/>
        <v>0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15"/>
        <v>0</v>
      </c>
      <c r="L47" s="28">
        <f t="shared" si="20"/>
        <v>2498</v>
      </c>
      <c r="M47" s="29"/>
      <c r="N47" s="799"/>
      <c r="O47" s="30">
        <f t="shared" si="22"/>
        <v>0</v>
      </c>
      <c r="P47" s="802"/>
      <c r="Q47" s="31">
        <f t="shared" si="23"/>
        <v>0</v>
      </c>
      <c r="R47" s="31"/>
      <c r="S47" s="28">
        <f t="shared" si="16"/>
        <v>0</v>
      </c>
      <c r="T47" s="28">
        <f t="shared" si="17"/>
        <v>0</v>
      </c>
      <c r="U47" s="28">
        <f t="shared" si="18"/>
        <v>0</v>
      </c>
      <c r="V47" s="28">
        <f t="shared" si="19"/>
        <v>0</v>
      </c>
      <c r="W47" s="31">
        <f t="shared" si="21"/>
        <v>2498</v>
      </c>
      <c r="X47" s="32">
        <f t="shared" si="24"/>
        <v>0</v>
      </c>
      <c r="Y47" s="57">
        <v>20000</v>
      </c>
      <c r="Z47" s="89">
        <v>4586</v>
      </c>
      <c r="AA47" s="35"/>
      <c r="AB47" s="57">
        <f>57000-AA60</f>
        <v>11400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15"/>
        <v>0</v>
      </c>
      <c r="L48" s="28">
        <f t="shared" si="20"/>
        <v>2498</v>
      </c>
      <c r="M48" s="136"/>
      <c r="N48" s="799"/>
      <c r="O48" s="137"/>
      <c r="P48" s="802"/>
      <c r="Q48" s="31">
        <f t="shared" si="23"/>
        <v>0</v>
      </c>
      <c r="R48" s="138"/>
      <c r="S48" s="28">
        <f t="shared" si="16"/>
        <v>0</v>
      </c>
      <c r="T48" s="28">
        <f t="shared" si="17"/>
        <v>0</v>
      </c>
      <c r="U48" s="28">
        <f t="shared" si="18"/>
        <v>0</v>
      </c>
      <c r="V48" s="28">
        <f t="shared" si="19"/>
        <v>0</v>
      </c>
      <c r="W48" s="31">
        <f t="shared" si="21"/>
        <v>2498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15"/>
        <v>0</v>
      </c>
      <c r="L49" s="423">
        <f t="shared" si="20"/>
        <v>2498</v>
      </c>
      <c r="M49" s="86"/>
      <c r="N49" s="800"/>
      <c r="O49" s="87">
        <f>+K49/$N$27</f>
        <v>0</v>
      </c>
      <c r="P49" s="803"/>
      <c r="Q49" s="144">
        <f t="shared" si="23"/>
        <v>0</v>
      </c>
      <c r="R49" s="144"/>
      <c r="S49" s="423">
        <f t="shared" si="16"/>
        <v>0</v>
      </c>
      <c r="T49" s="423">
        <f t="shared" si="17"/>
        <v>0</v>
      </c>
      <c r="U49" s="423">
        <f t="shared" si="18"/>
        <v>0</v>
      </c>
      <c r="V49" s="423">
        <f t="shared" si="19"/>
        <v>0</v>
      </c>
      <c r="W49" s="144">
        <f t="shared" si="21"/>
        <v>2498</v>
      </c>
      <c r="X49" s="32">
        <f>W49-L49</f>
        <v>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15"/>
        <v>0</v>
      </c>
      <c r="L50" s="422">
        <f t="shared" si="20"/>
        <v>2498</v>
      </c>
      <c r="M50" s="95"/>
      <c r="N50" s="804">
        <f>SUM(K50:K55)</f>
        <v>2000</v>
      </c>
      <c r="O50" s="96">
        <f>+K50/$N$27</f>
        <v>0</v>
      </c>
      <c r="P50" s="805"/>
      <c r="Q50" s="138">
        <f t="shared" si="23"/>
        <v>0</v>
      </c>
      <c r="R50" s="157">
        <f>K50*$P$50/SUM($K$50:$K$55)-K50</f>
        <v>0</v>
      </c>
      <c r="S50" s="422">
        <f t="shared" si="16"/>
        <v>0</v>
      </c>
      <c r="T50" s="422">
        <f t="shared" si="17"/>
        <v>0</v>
      </c>
      <c r="U50" s="422">
        <f t="shared" si="18"/>
        <v>0</v>
      </c>
      <c r="V50" s="422">
        <f t="shared" si="19"/>
        <v>0</v>
      </c>
      <c r="W50" s="97">
        <f t="shared" si="21"/>
        <v>2498</v>
      </c>
      <c r="X50" s="32">
        <f>W50-L50</f>
        <v>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15"/>
        <v>0</v>
      </c>
      <c r="L51" s="28">
        <f t="shared" si="20"/>
        <v>2498</v>
      </c>
      <c r="M51" s="234"/>
      <c r="N51" s="799"/>
      <c r="O51" s="184"/>
      <c r="P51" s="802"/>
      <c r="Q51" s="138">
        <f t="shared" si="23"/>
        <v>0</v>
      </c>
      <c r="R51" s="31"/>
      <c r="S51" s="422">
        <f t="shared" si="16"/>
        <v>0</v>
      </c>
      <c r="T51" s="28">
        <f t="shared" si="17"/>
        <v>0</v>
      </c>
      <c r="U51" s="28">
        <f t="shared" si="18"/>
        <v>0</v>
      </c>
      <c r="V51" s="28">
        <f t="shared" si="19"/>
        <v>0</v>
      </c>
      <c r="W51" s="31">
        <f t="shared" si="21"/>
        <v>2498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15"/>
        <v>0</v>
      </c>
      <c r="L52" s="28">
        <f t="shared" si="20"/>
        <v>2498</v>
      </c>
      <c r="M52" s="234"/>
      <c r="N52" s="799"/>
      <c r="O52" s="184"/>
      <c r="P52" s="802"/>
      <c r="Q52" s="31">
        <f t="shared" si="23"/>
        <v>0</v>
      </c>
      <c r="R52" s="97">
        <f>K52*$P$50/SUM($K$50:$K$55)-K52</f>
        <v>0</v>
      </c>
      <c r="S52" s="28">
        <f t="shared" si="16"/>
        <v>0</v>
      </c>
      <c r="T52" s="28">
        <f t="shared" si="17"/>
        <v>0</v>
      </c>
      <c r="U52" s="28">
        <f t="shared" si="18"/>
        <v>0</v>
      </c>
      <c r="V52" s="28">
        <f t="shared" si="19"/>
        <v>0</v>
      </c>
      <c r="W52" s="31">
        <f t="shared" si="21"/>
        <v>2498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518"/>
      <c r="J53" s="26"/>
      <c r="K53" s="27">
        <f t="shared" si="15"/>
        <v>2000</v>
      </c>
      <c r="L53" s="28">
        <f t="shared" si="20"/>
        <v>498</v>
      </c>
      <c r="M53" s="29"/>
      <c r="N53" s="799"/>
      <c r="O53" s="30">
        <f>+K53/$N$27</f>
        <v>4.7953580933656217E-2</v>
      </c>
      <c r="P53" s="802"/>
      <c r="Q53" s="97">
        <f t="shared" si="23"/>
        <v>0</v>
      </c>
      <c r="R53" s="31"/>
      <c r="S53" s="28">
        <f t="shared" si="16"/>
        <v>2000</v>
      </c>
      <c r="T53" s="28">
        <f t="shared" si="17"/>
        <v>0</v>
      </c>
      <c r="U53" s="28">
        <f t="shared" si="18"/>
        <v>0</v>
      </c>
      <c r="V53" s="28">
        <f t="shared" si="19"/>
        <v>2000</v>
      </c>
      <c r="W53" s="31">
        <f t="shared" si="21"/>
        <v>498</v>
      </c>
      <c r="X53" s="32">
        <f>W53-L53</f>
        <v>0</v>
      </c>
      <c r="Y53" s="80">
        <f>+Y52-15000</f>
        <v>-2513.5</v>
      </c>
      <c r="Z53" s="49">
        <f>+Z60-43000</f>
        <v>-8600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15"/>
        <v>0</v>
      </c>
      <c r="L54" s="28">
        <f t="shared" si="20"/>
        <v>498</v>
      </c>
      <c r="M54" s="29"/>
      <c r="N54" s="799"/>
      <c r="O54" s="30">
        <f>+K54/$N$27</f>
        <v>0</v>
      </c>
      <c r="P54" s="802"/>
      <c r="Q54" s="97">
        <f t="shared" si="23"/>
        <v>0</v>
      </c>
      <c r="R54" s="31">
        <f>K54*$P$50/SUM($K$50:$K$55)-K54</f>
        <v>0</v>
      </c>
      <c r="S54" s="28">
        <f t="shared" si="16"/>
        <v>0</v>
      </c>
      <c r="T54" s="28">
        <f t="shared" si="17"/>
        <v>0</v>
      </c>
      <c r="U54" s="28">
        <f t="shared" si="18"/>
        <v>0</v>
      </c>
      <c r="V54" s="28">
        <f t="shared" si="19"/>
        <v>0</v>
      </c>
      <c r="W54" s="31">
        <f t="shared" si="21"/>
        <v>498</v>
      </c>
      <c r="X54" s="32">
        <f>W54-L54</f>
        <v>0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15"/>
        <v>0</v>
      </c>
      <c r="L55" s="423">
        <f t="shared" si="20"/>
        <v>498</v>
      </c>
      <c r="M55" s="86"/>
      <c r="N55" s="800"/>
      <c r="O55" s="87">
        <f>+K55/$N$27</f>
        <v>0</v>
      </c>
      <c r="P55" s="803"/>
      <c r="Q55" s="97">
        <f t="shared" si="23"/>
        <v>0</v>
      </c>
      <c r="R55" s="31"/>
      <c r="S55" s="423">
        <f t="shared" si="16"/>
        <v>0</v>
      </c>
      <c r="T55" s="28">
        <f t="shared" si="17"/>
        <v>0</v>
      </c>
      <c r="U55" s="423">
        <f t="shared" si="18"/>
        <v>0</v>
      </c>
      <c r="V55" s="423">
        <f t="shared" si="19"/>
        <v>0</v>
      </c>
      <c r="W55" s="144">
        <f t="shared" si="21"/>
        <v>498</v>
      </c>
      <c r="X55" s="119">
        <f>W55-L55</f>
        <v>0</v>
      </c>
      <c r="Y55" s="807">
        <f ca="1">Z8</f>
        <v>41938</v>
      </c>
      <c r="Z55" s="808"/>
      <c r="AA55" s="808"/>
      <c r="AB55" s="808"/>
      <c r="AC55" s="808"/>
      <c r="AD55" s="809"/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15"/>
        <v>0</v>
      </c>
      <c r="L56" s="422">
        <f t="shared" si="20"/>
        <v>498</v>
      </c>
      <c r="M56" s="804"/>
      <c r="N56" s="804">
        <f>SUM(K56:K80)</f>
        <v>0</v>
      </c>
      <c r="O56" s="96">
        <f>+K56/$N$27</f>
        <v>0</v>
      </c>
      <c r="P56" s="172"/>
      <c r="Q56" s="157">
        <f t="shared" si="23"/>
        <v>0</v>
      </c>
      <c r="R56" s="157">
        <v>0</v>
      </c>
      <c r="S56" s="422">
        <f t="shared" si="16"/>
        <v>0</v>
      </c>
      <c r="T56" s="157">
        <f t="shared" si="17"/>
        <v>0</v>
      </c>
      <c r="U56" s="422">
        <f t="shared" si="18"/>
        <v>0</v>
      </c>
      <c r="V56" s="422">
        <f t="shared" si="19"/>
        <v>0</v>
      </c>
      <c r="W56" s="97">
        <f t="shared" si="21"/>
        <v>498</v>
      </c>
      <c r="X56" s="119">
        <f>W56-L56</f>
        <v>0</v>
      </c>
      <c r="Y56" s="811" t="s">
        <v>186</v>
      </c>
      <c r="Z56" s="812"/>
      <c r="AA56" s="812"/>
      <c r="AB56" s="812"/>
      <c r="AC56" s="812"/>
      <c r="AD56" s="813"/>
      <c r="AE56" s="13"/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15"/>
        <v>0</v>
      </c>
      <c r="L57" s="423">
        <f t="shared" si="20"/>
        <v>498</v>
      </c>
      <c r="M57" s="800"/>
      <c r="N57" s="800"/>
      <c r="O57" s="87" t="e">
        <f t="shared" ref="O57:O80" si="25">+K57/$N$56</f>
        <v>#DIV/0!</v>
      </c>
      <c r="P57" s="328"/>
      <c r="Q57" s="448">
        <f t="shared" si="23"/>
        <v>0</v>
      </c>
      <c r="R57" s="144">
        <v>0</v>
      </c>
      <c r="S57" s="423">
        <f t="shared" si="16"/>
        <v>0</v>
      </c>
      <c r="T57" s="423">
        <f t="shared" si="17"/>
        <v>0</v>
      </c>
      <c r="U57" s="423">
        <f t="shared" si="18"/>
        <v>0</v>
      </c>
      <c r="V57" s="423">
        <f t="shared" si="19"/>
        <v>0</v>
      </c>
      <c r="W57" s="144">
        <f t="shared" si="21"/>
        <v>498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747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15"/>
        <v>0</v>
      </c>
      <c r="L58" s="422">
        <f t="shared" si="20"/>
        <v>498</v>
      </c>
      <c r="M58" s="148"/>
      <c r="N58" s="148"/>
      <c r="O58" s="184" t="e">
        <f t="shared" si="25"/>
        <v>#DIV/0!</v>
      </c>
      <c r="P58" s="171"/>
      <c r="Q58" s="97">
        <f t="shared" ref="Q58:Q81" si="26">IF($P$57=0,0,(-($P$57*O58)+K58)-K58)</f>
        <v>0</v>
      </c>
      <c r="R58" s="97"/>
      <c r="S58" s="422">
        <f t="shared" si="16"/>
        <v>0</v>
      </c>
      <c r="T58" s="422">
        <f t="shared" si="17"/>
        <v>0</v>
      </c>
      <c r="U58" s="422">
        <f t="shared" si="18"/>
        <v>0</v>
      </c>
      <c r="V58" s="422">
        <f t="shared" si="19"/>
        <v>0</v>
      </c>
      <c r="W58" s="97">
        <f t="shared" si="21"/>
        <v>498</v>
      </c>
      <c r="X58" s="408"/>
      <c r="Y58" s="180" t="s">
        <v>7</v>
      </c>
      <c r="Z58" s="181">
        <f>+AB4</f>
        <v>27715</v>
      </c>
      <c r="AA58" s="182">
        <f>+AB3</f>
        <v>79541</v>
      </c>
      <c r="AB58" s="182">
        <f>Z12</f>
        <v>0</v>
      </c>
      <c r="AC58" s="181">
        <f>AB10</f>
        <v>0</v>
      </c>
      <c r="AD58" s="661">
        <f>SUM(Z58:AC58)</f>
        <v>107256</v>
      </c>
      <c r="AE58" s="185">
        <v>102166</v>
      </c>
      <c r="AF58" s="17">
        <f>AE58-AD58</f>
        <v>-5090</v>
      </c>
      <c r="AG58" s="17"/>
      <c r="AI58" s="50"/>
      <c r="AJ58" s="50"/>
      <c r="AK58" s="722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15"/>
        <v>0</v>
      </c>
      <c r="L59" s="28">
        <f t="shared" si="20"/>
        <v>498</v>
      </c>
      <c r="M59" s="148"/>
      <c r="N59" s="148"/>
      <c r="O59" s="30" t="e">
        <f t="shared" si="25"/>
        <v>#DIV/0!</v>
      </c>
      <c r="P59" s="171"/>
      <c r="Q59" s="31">
        <f t="shared" si="26"/>
        <v>0</v>
      </c>
      <c r="R59" s="31"/>
      <c r="S59" s="28">
        <f t="shared" si="16"/>
        <v>0</v>
      </c>
      <c r="T59" s="28">
        <f t="shared" si="17"/>
        <v>0</v>
      </c>
      <c r="U59" s="28">
        <f t="shared" si="18"/>
        <v>0</v>
      </c>
      <c r="V59" s="28">
        <f t="shared" si="19"/>
        <v>0</v>
      </c>
      <c r="W59" s="31">
        <f t="shared" si="21"/>
        <v>498</v>
      </c>
      <c r="X59" s="408"/>
      <c r="Y59" s="180" t="s">
        <v>17</v>
      </c>
      <c r="Z59" s="182">
        <f>+AC4</f>
        <v>151147</v>
      </c>
      <c r="AA59" s="182">
        <f>AC3</f>
        <v>146374</v>
      </c>
      <c r="AB59" s="182">
        <f>Z11</f>
        <v>0</v>
      </c>
      <c r="AC59" s="181">
        <v>0</v>
      </c>
      <c r="AD59" s="661">
        <f>SUM(Z59:AC59)</f>
        <v>297521</v>
      </c>
      <c r="AE59" s="185">
        <v>246817</v>
      </c>
      <c r="AF59" s="17">
        <f>AE59-AD59</f>
        <v>-50704</v>
      </c>
      <c r="AG59" s="51"/>
      <c r="AH59" s="19"/>
      <c r="AI59" s="50"/>
      <c r="AJ59" s="50"/>
      <c r="AK59" s="722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15"/>
        <v>0</v>
      </c>
      <c r="L60" s="28">
        <f t="shared" si="20"/>
        <v>498</v>
      </c>
      <c r="M60" s="148"/>
      <c r="N60" s="148"/>
      <c r="O60" s="30" t="e">
        <f t="shared" si="25"/>
        <v>#DIV/0!</v>
      </c>
      <c r="P60" s="171"/>
      <c r="Q60" s="31">
        <f t="shared" si="26"/>
        <v>0</v>
      </c>
      <c r="R60" s="31"/>
      <c r="S60" s="28">
        <f t="shared" si="16"/>
        <v>0</v>
      </c>
      <c r="T60" s="28">
        <f t="shared" si="17"/>
        <v>0</v>
      </c>
      <c r="U60" s="28">
        <f t="shared" si="18"/>
        <v>0</v>
      </c>
      <c r="V60" s="28">
        <f t="shared" si="19"/>
        <v>0</v>
      </c>
      <c r="W60" s="31">
        <f t="shared" si="21"/>
        <v>498</v>
      </c>
      <c r="X60" s="408"/>
      <c r="Y60" s="180" t="s">
        <v>112</v>
      </c>
      <c r="Z60" s="181">
        <f>+AD4+AH11</f>
        <v>34400</v>
      </c>
      <c r="AA60" s="182">
        <f>+AD3+AH10</f>
        <v>45600</v>
      </c>
      <c r="AB60" s="191">
        <v>0</v>
      </c>
      <c r="AC60" s="181">
        <v>0</v>
      </c>
      <c r="AD60" s="662">
        <f>SUM(Z60:AC60)</f>
        <v>80000</v>
      </c>
      <c r="AE60" s="185">
        <v>100343</v>
      </c>
      <c r="AF60" s="17">
        <f>AE60-AD60</f>
        <v>20343</v>
      </c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15"/>
        <v>0</v>
      </c>
      <c r="L61" s="28">
        <f t="shared" si="20"/>
        <v>498</v>
      </c>
      <c r="M61" s="148"/>
      <c r="N61" s="148"/>
      <c r="O61" s="30" t="e">
        <f t="shared" si="25"/>
        <v>#DIV/0!</v>
      </c>
      <c r="P61" s="171"/>
      <c r="Q61" s="31">
        <f t="shared" si="26"/>
        <v>0</v>
      </c>
      <c r="R61" s="31"/>
      <c r="S61" s="28">
        <f t="shared" si="16"/>
        <v>0</v>
      </c>
      <c r="T61" s="28">
        <f t="shared" si="17"/>
        <v>0</v>
      </c>
      <c r="U61" s="28">
        <f t="shared" si="18"/>
        <v>0</v>
      </c>
      <c r="V61" s="28">
        <f t="shared" si="19"/>
        <v>0</v>
      </c>
      <c r="W61" s="31">
        <f t="shared" si="21"/>
        <v>498</v>
      </c>
      <c r="X61" s="408"/>
      <c r="Y61" s="193" t="s">
        <v>113</v>
      </c>
      <c r="Z61" s="194">
        <f>SUM(Z58:Z60)</f>
        <v>213262</v>
      </c>
      <c r="AA61" s="194">
        <f>SUM(AA58:AA60)</f>
        <v>271515</v>
      </c>
      <c r="AB61" s="194">
        <f>SUM(AB58:AB60)</f>
        <v>0</v>
      </c>
      <c r="AC61" s="194">
        <f>AB10</f>
        <v>0</v>
      </c>
      <c r="AD61" s="195">
        <f>SUM(AD58:AD60)</f>
        <v>484777</v>
      </c>
      <c r="AE61" s="185">
        <f>AD61-AA68</f>
        <v>-12340.203827652324</v>
      </c>
      <c r="AF61" s="17">
        <f>SUM(AF58:AF60)</f>
        <v>-35451</v>
      </c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15"/>
        <v>0</v>
      </c>
      <c r="L62" s="28">
        <f t="shared" si="20"/>
        <v>498</v>
      </c>
      <c r="M62" s="148"/>
      <c r="N62" s="148"/>
      <c r="O62" s="30" t="e">
        <f t="shared" si="25"/>
        <v>#DIV/0!</v>
      </c>
      <c r="P62" s="171"/>
      <c r="Q62" s="31">
        <f t="shared" si="26"/>
        <v>0</v>
      </c>
      <c r="R62" s="31"/>
      <c r="S62" s="28">
        <f t="shared" si="16"/>
        <v>0</v>
      </c>
      <c r="T62" s="28">
        <f t="shared" si="17"/>
        <v>0</v>
      </c>
      <c r="U62" s="28">
        <f t="shared" si="18"/>
        <v>0</v>
      </c>
      <c r="V62" s="28">
        <f t="shared" si="19"/>
        <v>0</v>
      </c>
      <c r="W62" s="31">
        <f t="shared" si="21"/>
        <v>498</v>
      </c>
      <c r="X62" s="408"/>
      <c r="Y62" s="199" t="s">
        <v>114</v>
      </c>
      <c r="Z62" s="200">
        <f>(Z58/$Z$28+(Z59/$Z$27)+(Z60/$Z$29))</f>
        <v>213858.69851261511</v>
      </c>
      <c r="AA62" s="200">
        <f>(AA58/$Z$28+(AA59/$Z$27)+(AA60/$Z$29))</f>
        <v>272265.48034723685</v>
      </c>
      <c r="AB62" s="200">
        <f>(AB58/$Z$28)+(AB59/$Z$27)</f>
        <v>0</v>
      </c>
      <c r="AC62" s="200">
        <f>AB9</f>
        <v>0</v>
      </c>
      <c r="AD62" s="201">
        <f>(AD58/$Z$28+(AD59/$Z$27)+(AD60/$Z$29))</f>
        <v>486124.17885985196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15"/>
        <v>0</v>
      </c>
      <c r="L63" s="28">
        <f t="shared" si="20"/>
        <v>498</v>
      </c>
      <c r="M63" s="148"/>
      <c r="N63" s="148"/>
      <c r="O63" s="30" t="e">
        <f t="shared" si="25"/>
        <v>#DIV/0!</v>
      </c>
      <c r="P63" s="171"/>
      <c r="Q63" s="31">
        <f t="shared" si="26"/>
        <v>0</v>
      </c>
      <c r="R63" s="31"/>
      <c r="S63" s="28">
        <f t="shared" si="16"/>
        <v>0</v>
      </c>
      <c r="T63" s="28">
        <f t="shared" si="17"/>
        <v>0</v>
      </c>
      <c r="U63" s="28">
        <f t="shared" si="18"/>
        <v>0</v>
      </c>
      <c r="V63" s="28">
        <f t="shared" si="19"/>
        <v>0</v>
      </c>
      <c r="W63" s="31">
        <f t="shared" si="21"/>
        <v>498</v>
      </c>
      <c r="X63" s="408"/>
      <c r="Y63" s="368" t="s">
        <v>318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15"/>
        <v>0</v>
      </c>
      <c r="L64" s="28">
        <f t="shared" si="20"/>
        <v>498</v>
      </c>
      <c r="M64" s="148"/>
      <c r="N64" s="148"/>
      <c r="O64" s="30" t="e">
        <f t="shared" si="25"/>
        <v>#DIV/0!</v>
      </c>
      <c r="P64" s="171"/>
      <c r="Q64" s="31">
        <f t="shared" si="26"/>
        <v>0</v>
      </c>
      <c r="R64" s="31"/>
      <c r="S64" s="28">
        <f t="shared" si="16"/>
        <v>0</v>
      </c>
      <c r="T64" s="28">
        <f t="shared" si="17"/>
        <v>0</v>
      </c>
      <c r="U64" s="28">
        <f t="shared" si="18"/>
        <v>0</v>
      </c>
      <c r="V64" s="28">
        <f t="shared" si="19"/>
        <v>0</v>
      </c>
      <c r="W64" s="31">
        <f t="shared" si="21"/>
        <v>498</v>
      </c>
      <c r="X64" s="408"/>
      <c r="Y64" s="368" t="s">
        <v>317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15"/>
        <v>0</v>
      </c>
      <c r="L65" s="28">
        <f t="shared" si="20"/>
        <v>498</v>
      </c>
      <c r="M65" s="148"/>
      <c r="N65" s="148"/>
      <c r="O65" s="30" t="e">
        <f t="shared" si="25"/>
        <v>#DIV/0!</v>
      </c>
      <c r="P65" s="171"/>
      <c r="Q65" s="31">
        <f t="shared" si="26"/>
        <v>0</v>
      </c>
      <c r="R65" s="31"/>
      <c r="S65" s="28">
        <f t="shared" si="16"/>
        <v>0</v>
      </c>
      <c r="T65" s="28">
        <f t="shared" si="17"/>
        <v>0</v>
      </c>
      <c r="U65" s="28">
        <f t="shared" si="18"/>
        <v>0</v>
      </c>
      <c r="V65" s="28">
        <f t="shared" si="19"/>
        <v>0</v>
      </c>
      <c r="W65" s="31">
        <f t="shared" si="21"/>
        <v>498</v>
      </c>
      <c r="X65" s="408"/>
      <c r="Y65" s="371" t="s">
        <v>115</v>
      </c>
      <c r="Z65" s="484"/>
      <c r="AA65" s="203">
        <v>122289.80560000002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ref="K66:K97" si="27">SUM(H66:J66)</f>
        <v>0</v>
      </c>
      <c r="L66" s="28">
        <f t="shared" si="20"/>
        <v>498</v>
      </c>
      <c r="M66" s="148"/>
      <c r="N66" s="148"/>
      <c r="O66" s="30" t="e">
        <f t="shared" si="25"/>
        <v>#DIV/0!</v>
      </c>
      <c r="P66" s="171"/>
      <c r="Q66" s="31">
        <f t="shared" si="26"/>
        <v>0</v>
      </c>
      <c r="R66" s="31"/>
      <c r="S66" s="28">
        <f t="shared" ref="S66:S97" si="28">IF(H66&lt;&gt;0,+H66+Q66+R66,0)</f>
        <v>0</v>
      </c>
      <c r="T66" s="28">
        <f t="shared" ref="T66:T97" si="29">IF(I66&lt;&gt;0,+I66+Q66+R66,0)</f>
        <v>0</v>
      </c>
      <c r="U66" s="28">
        <f t="shared" ref="U66:U97" si="30">IF(J66&lt;&gt;0,+J66+Q66+R66,0)</f>
        <v>0</v>
      </c>
      <c r="V66" s="28">
        <f t="shared" ref="V66:V97" si="31">+S66+T66+U66</f>
        <v>0</v>
      </c>
      <c r="W66" s="31">
        <f t="shared" si="21"/>
        <v>498</v>
      </c>
      <c r="X66" s="408"/>
      <c r="Y66" s="814" t="s">
        <v>116</v>
      </c>
      <c r="Z66" s="815"/>
      <c r="AA66" s="203">
        <v>52014.378240000005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27"/>
        <v>0</v>
      </c>
      <c r="L67" s="28">
        <f t="shared" ref="L67:L98" si="32">+L66-K67</f>
        <v>498</v>
      </c>
      <c r="M67" s="148"/>
      <c r="N67" s="148"/>
      <c r="O67" s="30" t="e">
        <f t="shared" si="25"/>
        <v>#DIV/0!</v>
      </c>
      <c r="P67" s="171"/>
      <c r="Q67" s="31">
        <f t="shared" si="26"/>
        <v>0</v>
      </c>
      <c r="R67" s="31"/>
      <c r="S67" s="28">
        <f t="shared" si="28"/>
        <v>0</v>
      </c>
      <c r="T67" s="28">
        <f t="shared" si="29"/>
        <v>0</v>
      </c>
      <c r="U67" s="28">
        <f t="shared" si="30"/>
        <v>0</v>
      </c>
      <c r="V67" s="28">
        <f t="shared" si="31"/>
        <v>0</v>
      </c>
      <c r="W67" s="31">
        <f t="shared" ref="W67:W98" si="33">+W66-V67</f>
        <v>498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27"/>
        <v>0</v>
      </c>
      <c r="L68" s="28">
        <f t="shared" si="32"/>
        <v>498</v>
      </c>
      <c r="M68" s="148"/>
      <c r="N68" s="148"/>
      <c r="O68" s="30" t="e">
        <f t="shared" si="25"/>
        <v>#DIV/0!</v>
      </c>
      <c r="P68" s="171"/>
      <c r="Q68" s="31">
        <f t="shared" si="26"/>
        <v>0</v>
      </c>
      <c r="R68" s="31"/>
      <c r="S68" s="28">
        <f t="shared" si="28"/>
        <v>0</v>
      </c>
      <c r="T68" s="28">
        <f t="shared" si="29"/>
        <v>0</v>
      </c>
      <c r="U68" s="28">
        <f t="shared" si="30"/>
        <v>0</v>
      </c>
      <c r="V68" s="28">
        <f t="shared" si="31"/>
        <v>0</v>
      </c>
      <c r="W68" s="31">
        <f t="shared" si="33"/>
        <v>498</v>
      </c>
      <c r="X68" s="211"/>
      <c r="Y68" s="814" t="s">
        <v>188</v>
      </c>
      <c r="Z68" s="815"/>
      <c r="AA68" s="207">
        <f>Z9*Z30+AC61</f>
        <v>497117.20382765232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27"/>
        <v>0</v>
      </c>
      <c r="L69" s="28">
        <f t="shared" si="32"/>
        <v>498</v>
      </c>
      <c r="M69" s="148"/>
      <c r="N69" s="148"/>
      <c r="O69" s="30" t="e">
        <f t="shared" si="25"/>
        <v>#DIV/0!</v>
      </c>
      <c r="P69" s="171"/>
      <c r="Q69" s="31">
        <f t="shared" si="26"/>
        <v>0</v>
      </c>
      <c r="R69" s="31"/>
      <c r="S69" s="28">
        <f t="shared" si="28"/>
        <v>0</v>
      </c>
      <c r="T69" s="28">
        <f t="shared" si="29"/>
        <v>0</v>
      </c>
      <c r="U69" s="28">
        <f t="shared" si="30"/>
        <v>0</v>
      </c>
      <c r="V69" s="28">
        <f t="shared" si="31"/>
        <v>0</v>
      </c>
      <c r="W69" s="31">
        <f t="shared" si="33"/>
        <v>498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27"/>
        <v>0</v>
      </c>
      <c r="L70" s="28">
        <f t="shared" si="32"/>
        <v>498</v>
      </c>
      <c r="M70" s="148"/>
      <c r="N70" s="148"/>
      <c r="O70" s="30" t="e">
        <f t="shared" si="25"/>
        <v>#DIV/0!</v>
      </c>
      <c r="P70" s="171"/>
      <c r="Q70" s="31">
        <f t="shared" si="26"/>
        <v>0</v>
      </c>
      <c r="R70" s="31"/>
      <c r="S70" s="28">
        <f t="shared" si="28"/>
        <v>0</v>
      </c>
      <c r="T70" s="28">
        <f t="shared" si="29"/>
        <v>0</v>
      </c>
      <c r="U70" s="28">
        <f t="shared" si="30"/>
        <v>0</v>
      </c>
      <c r="V70" s="28">
        <f t="shared" si="31"/>
        <v>0</v>
      </c>
      <c r="W70" s="31">
        <f t="shared" si="33"/>
        <v>498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27"/>
        <v>0</v>
      </c>
      <c r="L71" s="28">
        <f t="shared" si="32"/>
        <v>498</v>
      </c>
      <c r="M71" s="148"/>
      <c r="N71" s="148"/>
      <c r="O71" s="30" t="e">
        <f t="shared" si="25"/>
        <v>#DIV/0!</v>
      </c>
      <c r="P71" s="171"/>
      <c r="Q71" s="31">
        <f t="shared" si="26"/>
        <v>0</v>
      </c>
      <c r="R71" s="31"/>
      <c r="S71" s="28">
        <f t="shared" si="28"/>
        <v>0</v>
      </c>
      <c r="T71" s="28">
        <f t="shared" si="29"/>
        <v>0</v>
      </c>
      <c r="U71" s="28">
        <f t="shared" si="30"/>
        <v>0</v>
      </c>
      <c r="V71" s="28">
        <f t="shared" si="31"/>
        <v>0</v>
      </c>
      <c r="W71" s="31">
        <f t="shared" si="33"/>
        <v>498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27"/>
        <v>0</v>
      </c>
      <c r="L72" s="28">
        <f t="shared" si="32"/>
        <v>498</v>
      </c>
      <c r="M72" s="148"/>
      <c r="N72" s="148"/>
      <c r="O72" s="30" t="e">
        <f t="shared" si="25"/>
        <v>#DIV/0!</v>
      </c>
      <c r="P72" s="171"/>
      <c r="Q72" s="31">
        <f t="shared" si="26"/>
        <v>0</v>
      </c>
      <c r="R72" s="31"/>
      <c r="S72" s="28">
        <f t="shared" si="28"/>
        <v>0</v>
      </c>
      <c r="T72" s="28">
        <f t="shared" si="29"/>
        <v>0</v>
      </c>
      <c r="U72" s="28">
        <f t="shared" si="30"/>
        <v>0</v>
      </c>
      <c r="V72" s="28">
        <f t="shared" si="31"/>
        <v>0</v>
      </c>
      <c r="W72" s="31">
        <f t="shared" si="33"/>
        <v>498</v>
      </c>
      <c r="X72" s="211"/>
      <c r="Y72" s="214" t="s">
        <v>47</v>
      </c>
      <c r="Z72" s="215">
        <f ca="1">Z8</f>
        <v>41938</v>
      </c>
      <c r="AA72" s="818" t="s">
        <v>118</v>
      </c>
      <c r="AB72" s="818"/>
      <c r="AC72" s="818"/>
      <c r="AD72" s="216">
        <v>7.25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27"/>
        <v>0</v>
      </c>
      <c r="L73" s="28">
        <f t="shared" si="32"/>
        <v>498</v>
      </c>
      <c r="M73" s="148"/>
      <c r="N73" s="148"/>
      <c r="O73" s="30" t="e">
        <f t="shared" si="25"/>
        <v>#DIV/0!</v>
      </c>
      <c r="P73" s="171"/>
      <c r="Q73" s="31">
        <f t="shared" si="26"/>
        <v>0</v>
      </c>
      <c r="R73" s="31"/>
      <c r="S73" s="28">
        <f t="shared" si="28"/>
        <v>0</v>
      </c>
      <c r="T73" s="28">
        <f t="shared" si="29"/>
        <v>0</v>
      </c>
      <c r="U73" s="28">
        <f t="shared" si="30"/>
        <v>0</v>
      </c>
      <c r="V73" s="28">
        <f t="shared" si="31"/>
        <v>0</v>
      </c>
      <c r="W73" s="31">
        <f t="shared" si="33"/>
        <v>498</v>
      </c>
      <c r="X73" s="211"/>
      <c r="Y73" s="214" t="s">
        <v>119</v>
      </c>
      <c r="Z73" s="480">
        <f>AD72</f>
        <v>7.25</v>
      </c>
      <c r="AA73" s="745" t="s">
        <v>120</v>
      </c>
      <c r="AB73" s="745"/>
      <c r="AC73" s="745"/>
      <c r="AD73" s="219">
        <f>24-AD72</f>
        <v>16.75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si="27"/>
        <v>0</v>
      </c>
      <c r="L74" s="28">
        <f t="shared" si="32"/>
        <v>498</v>
      </c>
      <c r="M74" s="148"/>
      <c r="N74" s="148"/>
      <c r="O74" s="30" t="e">
        <f t="shared" si="25"/>
        <v>#DIV/0!</v>
      </c>
      <c r="P74" s="171"/>
      <c r="Q74" s="31">
        <f t="shared" si="26"/>
        <v>0</v>
      </c>
      <c r="R74" s="31"/>
      <c r="S74" s="28">
        <f t="shared" si="28"/>
        <v>0</v>
      </c>
      <c r="T74" s="28">
        <f t="shared" si="29"/>
        <v>0</v>
      </c>
      <c r="U74" s="28">
        <f t="shared" si="30"/>
        <v>0</v>
      </c>
      <c r="V74" s="28">
        <f t="shared" si="31"/>
        <v>0</v>
      </c>
      <c r="W74" s="31">
        <f t="shared" si="33"/>
        <v>498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46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7"/>
        <v>0</v>
      </c>
      <c r="L75" s="28">
        <f t="shared" si="32"/>
        <v>498</v>
      </c>
      <c r="M75" s="148"/>
      <c r="N75" s="148"/>
      <c r="O75" s="30" t="e">
        <f t="shared" si="25"/>
        <v>#DIV/0!</v>
      </c>
      <c r="P75" s="171"/>
      <c r="Q75" s="31">
        <f t="shared" si="26"/>
        <v>0</v>
      </c>
      <c r="R75" s="31"/>
      <c r="S75" s="28">
        <f t="shared" si="28"/>
        <v>0</v>
      </c>
      <c r="T75" s="28">
        <f t="shared" si="29"/>
        <v>0</v>
      </c>
      <c r="U75" s="28">
        <f t="shared" si="30"/>
        <v>0</v>
      </c>
      <c r="V75" s="28">
        <f t="shared" si="31"/>
        <v>0</v>
      </c>
      <c r="W75" s="31">
        <f t="shared" si="33"/>
        <v>498</v>
      </c>
      <c r="X75" s="211"/>
      <c r="Y75" s="746" t="s">
        <v>121</v>
      </c>
      <c r="Z75" s="746" t="s">
        <v>122</v>
      </c>
      <c r="AA75" s="746" t="s">
        <v>123</v>
      </c>
      <c r="AB75" s="820" t="s">
        <v>124</v>
      </c>
      <c r="AC75" s="821"/>
      <c r="AD75" s="822"/>
      <c r="AE75" s="746" t="s">
        <v>125</v>
      </c>
      <c r="AF75" s="746" t="s">
        <v>126</v>
      </c>
      <c r="AG75" s="149"/>
      <c r="AH75" s="746" t="s">
        <v>121</v>
      </c>
      <c r="AI75" s="746"/>
      <c r="AJ75" s="214" t="s">
        <v>7</v>
      </c>
      <c r="AK75" s="236">
        <f>((+AD78-AA78)/$AD$73)*24</f>
        <v>92445.13432835821</v>
      </c>
      <c r="AL75" s="236">
        <f>AK75</f>
        <v>92445.13432835821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7"/>
        <v>0</v>
      </c>
      <c r="L76" s="28">
        <f t="shared" si="32"/>
        <v>498</v>
      </c>
      <c r="M76" s="148"/>
      <c r="N76" s="148"/>
      <c r="O76" s="30" t="e">
        <f t="shared" si="25"/>
        <v>#DIV/0!</v>
      </c>
      <c r="P76" s="171"/>
      <c r="Q76" s="31">
        <f t="shared" si="26"/>
        <v>0</v>
      </c>
      <c r="R76" s="31"/>
      <c r="S76" s="28">
        <f t="shared" si="28"/>
        <v>0</v>
      </c>
      <c r="T76" s="28">
        <f t="shared" si="29"/>
        <v>0</v>
      </c>
      <c r="U76" s="28">
        <f t="shared" si="30"/>
        <v>0</v>
      </c>
      <c r="V76" s="28">
        <f t="shared" si="31"/>
        <v>0</v>
      </c>
      <c r="W76" s="31">
        <f t="shared" si="33"/>
        <v>498</v>
      </c>
      <c r="X76" s="211"/>
      <c r="Y76" s="746"/>
      <c r="Z76" s="746"/>
      <c r="AA76" s="746"/>
      <c r="AB76" s="746"/>
      <c r="AC76" s="746"/>
      <c r="AD76" s="746"/>
      <c r="AE76" s="746"/>
      <c r="AF76" s="746"/>
      <c r="AG76" s="149"/>
      <c r="AH76" s="746"/>
      <c r="AI76" s="746"/>
      <c r="AJ76" s="214" t="s">
        <v>6</v>
      </c>
      <c r="AK76" s="236">
        <f>((+AD79-AA79)/$AD$73)*24</f>
        <v>320268.89552238805</v>
      </c>
      <c r="AL76" s="236">
        <f>+AK76</f>
        <v>320268.89552238805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7"/>
        <v>0</v>
      </c>
      <c r="L77" s="28">
        <f t="shared" si="32"/>
        <v>498</v>
      </c>
      <c r="M77" s="148"/>
      <c r="N77" s="148"/>
      <c r="O77" s="30" t="e">
        <f t="shared" si="25"/>
        <v>#DIV/0!</v>
      </c>
      <c r="P77" s="171"/>
      <c r="Q77" s="31">
        <f t="shared" si="26"/>
        <v>0</v>
      </c>
      <c r="R77" s="31"/>
      <c r="S77" s="28">
        <f t="shared" si="28"/>
        <v>0</v>
      </c>
      <c r="T77" s="28">
        <f t="shared" si="29"/>
        <v>0</v>
      </c>
      <c r="U77" s="28">
        <f t="shared" si="30"/>
        <v>0</v>
      </c>
      <c r="V77" s="28">
        <f t="shared" si="31"/>
        <v>0</v>
      </c>
      <c r="W77" s="31">
        <f t="shared" si="33"/>
        <v>498</v>
      </c>
      <c r="X77" s="211"/>
      <c r="Y77" s="746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46"/>
      <c r="AI77" s="78"/>
      <c r="AJ77" s="214" t="s">
        <v>8</v>
      </c>
      <c r="AK77" s="236">
        <f>((+AD80-AA80)/$AD$73)*24</f>
        <v>84970.029850746272</v>
      </c>
      <c r="AL77" s="236">
        <f>AK77</f>
        <v>84970.029850746272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7"/>
        <v>0</v>
      </c>
      <c r="L78" s="28">
        <f t="shared" si="32"/>
        <v>498</v>
      </c>
      <c r="M78" s="148"/>
      <c r="N78" s="148"/>
      <c r="O78" s="30" t="e">
        <f t="shared" si="25"/>
        <v>#DIV/0!</v>
      </c>
      <c r="P78" s="171"/>
      <c r="Q78" s="31">
        <f t="shared" si="26"/>
        <v>0</v>
      </c>
      <c r="R78" s="31"/>
      <c r="S78" s="28">
        <f t="shared" si="28"/>
        <v>0</v>
      </c>
      <c r="T78" s="28">
        <f t="shared" si="29"/>
        <v>0</v>
      </c>
      <c r="U78" s="28">
        <f t="shared" si="30"/>
        <v>0</v>
      </c>
      <c r="V78" s="28">
        <f t="shared" si="31"/>
        <v>0</v>
      </c>
      <c r="W78" s="31">
        <f t="shared" si="33"/>
        <v>498</v>
      </c>
      <c r="X78" s="211"/>
      <c r="Y78" s="214" t="s">
        <v>7</v>
      </c>
      <c r="Z78" s="224">
        <v>101612</v>
      </c>
      <c r="AA78" s="225">
        <v>42737</v>
      </c>
      <c r="AB78" s="226">
        <f t="shared" ref="AB78:AC80" si="34">+Z58</f>
        <v>27715</v>
      </c>
      <c r="AC78" s="226">
        <f t="shared" si="34"/>
        <v>79541</v>
      </c>
      <c r="AD78" s="226">
        <f>+AB78+AC78+AB58+AC58</f>
        <v>107256</v>
      </c>
      <c r="AE78" s="519">
        <f>+((AD58/24)*$AD$73)+AA78</f>
        <v>117592.75</v>
      </c>
      <c r="AF78" s="227">
        <f>+AE78-AD78</f>
        <v>10336.75</v>
      </c>
      <c r="AG78" s="212"/>
      <c r="AH78" s="214" t="s">
        <v>7</v>
      </c>
      <c r="AI78" s="446">
        <f>+AA78</f>
        <v>42737</v>
      </c>
      <c r="AK78" s="231">
        <f>+SUM(AK75:AK77)</f>
        <v>497684.05970149254</v>
      </c>
      <c r="AL78" s="231">
        <f>+SUM(AL75:AL77)</f>
        <v>497684.05970149254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7"/>
        <v>0</v>
      </c>
      <c r="L79" s="28">
        <f t="shared" si="32"/>
        <v>498</v>
      </c>
      <c r="M79" s="148"/>
      <c r="N79" s="148"/>
      <c r="O79" s="30" t="e">
        <f t="shared" si="25"/>
        <v>#DIV/0!</v>
      </c>
      <c r="P79" s="171"/>
      <c r="Q79" s="31">
        <f t="shared" si="26"/>
        <v>0</v>
      </c>
      <c r="R79" s="31"/>
      <c r="S79" s="28">
        <f t="shared" si="28"/>
        <v>0</v>
      </c>
      <c r="T79" s="28">
        <f t="shared" si="29"/>
        <v>0</v>
      </c>
      <c r="U79" s="28">
        <f t="shared" si="30"/>
        <v>0</v>
      </c>
      <c r="V79" s="28">
        <f t="shared" si="31"/>
        <v>0</v>
      </c>
      <c r="W79" s="31">
        <f t="shared" si="33"/>
        <v>498</v>
      </c>
      <c r="X79" s="211"/>
      <c r="Y79" s="214" t="s">
        <v>6</v>
      </c>
      <c r="Z79" s="224">
        <v>282585</v>
      </c>
      <c r="AA79" s="225">
        <v>74000</v>
      </c>
      <c r="AB79" s="226">
        <f t="shared" si="34"/>
        <v>151147</v>
      </c>
      <c r="AC79" s="226">
        <f t="shared" si="34"/>
        <v>146374</v>
      </c>
      <c r="AD79" s="226">
        <f>+AB79+AC79+AB59</f>
        <v>297521</v>
      </c>
      <c r="AE79" s="519">
        <f>+((AD59/24)*$AD$73)+AA79</f>
        <v>281644.86458333337</v>
      </c>
      <c r="AF79" s="227">
        <f>+AE79-AD79</f>
        <v>-15876.135416666628</v>
      </c>
      <c r="AG79" s="212"/>
      <c r="AH79" s="214" t="s">
        <v>6</v>
      </c>
      <c r="AI79" s="446">
        <f>+AA79</f>
        <v>74000</v>
      </c>
      <c r="AJ79" s="53"/>
      <c r="AK79" s="481">
        <f>Z10</f>
        <v>497117</v>
      </c>
      <c r="AL79" s="481">
        <f>AK79-AK78</f>
        <v>-567.05970149254426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7"/>
        <v>0</v>
      </c>
      <c r="L80" s="28">
        <f t="shared" si="32"/>
        <v>498</v>
      </c>
      <c r="M80" s="148"/>
      <c r="N80" s="234"/>
      <c r="O80" s="30" t="e">
        <f t="shared" si="25"/>
        <v>#DIV/0!</v>
      </c>
      <c r="P80" s="179"/>
      <c r="Q80" s="31">
        <f t="shared" si="26"/>
        <v>0</v>
      </c>
      <c r="R80" s="31"/>
      <c r="S80" s="28">
        <f t="shared" si="28"/>
        <v>0</v>
      </c>
      <c r="T80" s="28">
        <f t="shared" si="29"/>
        <v>0</v>
      </c>
      <c r="U80" s="28">
        <f t="shared" si="30"/>
        <v>0</v>
      </c>
      <c r="V80" s="28">
        <f t="shared" si="31"/>
        <v>0</v>
      </c>
      <c r="W80" s="31">
        <f t="shared" si="33"/>
        <v>498</v>
      </c>
      <c r="X80" s="211"/>
      <c r="Y80" s="214" t="s">
        <v>8</v>
      </c>
      <c r="Z80" s="224">
        <v>80000</v>
      </c>
      <c r="AA80" s="225">
        <v>20698</v>
      </c>
      <c r="AB80" s="226">
        <f t="shared" si="34"/>
        <v>34400</v>
      </c>
      <c r="AC80" s="226">
        <f t="shared" si="34"/>
        <v>45600</v>
      </c>
      <c r="AD80" s="226">
        <f>+AB80+AC80</f>
        <v>80000</v>
      </c>
      <c r="AE80" s="519">
        <f>+((AD60/24)*$AD$73)+AA80</f>
        <v>76531.333333333343</v>
      </c>
      <c r="AF80" s="227">
        <f>+AE80-AD80</f>
        <v>-3468.666666666657</v>
      </c>
      <c r="AG80" s="149"/>
      <c r="AH80" s="214" t="s">
        <v>8</v>
      </c>
      <c r="AI80" s="447">
        <f>+AA80</f>
        <v>20698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7"/>
        <v>0</v>
      </c>
      <c r="L81" s="28">
        <f t="shared" si="32"/>
        <v>498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26"/>
        <v>0</v>
      </c>
      <c r="R81" s="31"/>
      <c r="S81" s="28">
        <f t="shared" si="28"/>
        <v>0</v>
      </c>
      <c r="T81" s="28">
        <f t="shared" si="29"/>
        <v>0</v>
      </c>
      <c r="U81" s="28">
        <f t="shared" si="30"/>
        <v>0</v>
      </c>
      <c r="V81" s="28">
        <f t="shared" si="31"/>
        <v>0</v>
      </c>
      <c r="W81" s="31">
        <f t="shared" si="33"/>
        <v>498</v>
      </c>
      <c r="X81" s="211"/>
      <c r="Y81" s="228" t="s">
        <v>130</v>
      </c>
      <c r="Z81" s="229">
        <f t="shared" ref="Z81:AE81" si="35">SUM(Z78:Z80)</f>
        <v>464197</v>
      </c>
      <c r="AA81" s="230">
        <f t="shared" si="35"/>
        <v>137435</v>
      </c>
      <c r="AB81" s="229">
        <f t="shared" si="35"/>
        <v>213262</v>
      </c>
      <c r="AC81" s="229">
        <f t="shared" si="35"/>
        <v>271515</v>
      </c>
      <c r="AD81" s="229">
        <f t="shared" si="35"/>
        <v>484777</v>
      </c>
      <c r="AE81" s="229">
        <f t="shared" si="35"/>
        <v>475768.94791666674</v>
      </c>
      <c r="AF81" s="227">
        <f>+SUM(AF78:AF80)</f>
        <v>-9008.0520833332848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7"/>
        <v>0</v>
      </c>
      <c r="L82" s="28">
        <f t="shared" si="32"/>
        <v>498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28"/>
        <v>0</v>
      </c>
      <c r="T82" s="28">
        <f t="shared" si="29"/>
        <v>0</v>
      </c>
      <c r="U82" s="28">
        <f t="shared" si="30"/>
        <v>0</v>
      </c>
      <c r="V82" s="28">
        <f t="shared" si="31"/>
        <v>0</v>
      </c>
      <c r="W82" s="31">
        <f t="shared" si="33"/>
        <v>498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7"/>
        <v>0</v>
      </c>
      <c r="L83" s="28">
        <f t="shared" si="32"/>
        <v>498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28"/>
        <v>0</v>
      </c>
      <c r="T83" s="28">
        <f t="shared" si="29"/>
        <v>0</v>
      </c>
      <c r="U83" s="28">
        <f t="shared" si="30"/>
        <v>0</v>
      </c>
      <c r="V83" s="28">
        <f t="shared" si="31"/>
        <v>0</v>
      </c>
      <c r="W83" s="31">
        <f t="shared" si="33"/>
        <v>498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7"/>
        <v>0</v>
      </c>
      <c r="L84" s="28">
        <f t="shared" si="32"/>
        <v>498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28"/>
        <v>0</v>
      </c>
      <c r="T84" s="28">
        <f t="shared" si="29"/>
        <v>0</v>
      </c>
      <c r="U84" s="28">
        <f t="shared" si="30"/>
        <v>0</v>
      </c>
      <c r="V84" s="28">
        <f t="shared" si="31"/>
        <v>0</v>
      </c>
      <c r="W84" s="31">
        <f t="shared" si="33"/>
        <v>498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7"/>
        <v>0</v>
      </c>
      <c r="L85" s="28">
        <f t="shared" si="32"/>
        <v>498</v>
      </c>
      <c r="M85" s="810"/>
      <c r="N85" s="810">
        <f>SUM(K85:K93)</f>
        <v>0</v>
      </c>
      <c r="O85" s="30" t="e">
        <f t="shared" ref="O85:O93" si="36">+K85/$N$85</f>
        <v>#DIV/0!</v>
      </c>
      <c r="P85" s="238"/>
      <c r="Q85" s="31">
        <f t="shared" ref="Q85:Q103" si="37">IF($P$85=0,0,(-($P$85*O85)+K85)-K85)</f>
        <v>0</v>
      </c>
      <c r="R85" s="31"/>
      <c r="S85" s="28">
        <f t="shared" si="28"/>
        <v>0</v>
      </c>
      <c r="T85" s="28">
        <f t="shared" si="29"/>
        <v>0</v>
      </c>
      <c r="U85" s="28">
        <f t="shared" si="30"/>
        <v>0</v>
      </c>
      <c r="V85" s="28">
        <f t="shared" si="31"/>
        <v>0</v>
      </c>
      <c r="W85" s="31">
        <f t="shared" si="33"/>
        <v>498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7"/>
        <v>0</v>
      </c>
      <c r="L86" s="28">
        <f t="shared" si="32"/>
        <v>498</v>
      </c>
      <c r="M86" s="810"/>
      <c r="N86" s="810"/>
      <c r="O86" s="30" t="e">
        <f t="shared" si="36"/>
        <v>#DIV/0!</v>
      </c>
      <c r="P86" s="171"/>
      <c r="Q86" s="31">
        <f t="shared" si="37"/>
        <v>0</v>
      </c>
      <c r="R86" s="31"/>
      <c r="S86" s="28">
        <f t="shared" si="28"/>
        <v>0</v>
      </c>
      <c r="T86" s="28">
        <f t="shared" si="29"/>
        <v>0</v>
      </c>
      <c r="U86" s="28">
        <f t="shared" si="30"/>
        <v>0</v>
      </c>
      <c r="V86" s="28">
        <f t="shared" si="31"/>
        <v>0</v>
      </c>
      <c r="W86" s="31">
        <f t="shared" si="33"/>
        <v>498</v>
      </c>
      <c r="Y86" s="14" t="s">
        <v>177</v>
      </c>
      <c r="Z86" s="336" t="s">
        <v>178</v>
      </c>
      <c r="AA86" s="337">
        <f>+AA81</f>
        <v>137435</v>
      </c>
      <c r="AB86" s="337">
        <f>AA87-AA86</f>
        <v>134754.72916666669</v>
      </c>
      <c r="AC86" s="42">
        <f>AB86*24/5.5</f>
        <v>588020.63636363647</v>
      </c>
      <c r="AD86" s="338">
        <f>AC86+353111</f>
        <v>941131.63636363647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7"/>
        <v>0</v>
      </c>
      <c r="L87" s="28">
        <f t="shared" si="32"/>
        <v>498</v>
      </c>
      <c r="M87" s="810"/>
      <c r="N87" s="810"/>
      <c r="O87" s="30" t="e">
        <f t="shared" si="36"/>
        <v>#DIV/0!</v>
      </c>
      <c r="P87" s="171"/>
      <c r="Q87" s="31">
        <f t="shared" si="37"/>
        <v>0</v>
      </c>
      <c r="R87" s="31"/>
      <c r="S87" s="28">
        <f t="shared" si="28"/>
        <v>0</v>
      </c>
      <c r="T87" s="28">
        <f t="shared" si="29"/>
        <v>0</v>
      </c>
      <c r="U87" s="28">
        <f t="shared" si="30"/>
        <v>0</v>
      </c>
      <c r="V87" s="28">
        <f t="shared" si="31"/>
        <v>0</v>
      </c>
      <c r="W87" s="31">
        <f t="shared" si="33"/>
        <v>498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215676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7"/>
        <v>0</v>
      </c>
      <c r="L88" s="28">
        <f t="shared" si="32"/>
        <v>498</v>
      </c>
      <c r="M88" s="810"/>
      <c r="N88" s="810"/>
      <c r="O88" s="30" t="e">
        <f t="shared" si="36"/>
        <v>#DIV/0!</v>
      </c>
      <c r="P88" s="171"/>
      <c r="Q88" s="31">
        <f t="shared" si="37"/>
        <v>0</v>
      </c>
      <c r="R88" s="31"/>
      <c r="S88" s="28">
        <f t="shared" si="28"/>
        <v>0</v>
      </c>
      <c r="T88" s="28">
        <f t="shared" si="29"/>
        <v>0</v>
      </c>
      <c r="U88" s="28">
        <f t="shared" si="30"/>
        <v>0</v>
      </c>
      <c r="V88" s="28">
        <f t="shared" si="31"/>
        <v>0</v>
      </c>
      <c r="W88" s="31">
        <f t="shared" si="33"/>
        <v>498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7"/>
        <v>0</v>
      </c>
      <c r="L89" s="28">
        <f t="shared" si="32"/>
        <v>498</v>
      </c>
      <c r="M89" s="810"/>
      <c r="N89" s="810"/>
      <c r="O89" s="30" t="e">
        <f t="shared" si="36"/>
        <v>#DIV/0!</v>
      </c>
      <c r="P89" s="171"/>
      <c r="Q89" s="31">
        <f t="shared" si="37"/>
        <v>0</v>
      </c>
      <c r="R89" s="31"/>
      <c r="S89" s="28">
        <f t="shared" si="28"/>
        <v>0</v>
      </c>
      <c r="T89" s="28">
        <f t="shared" si="29"/>
        <v>0</v>
      </c>
      <c r="U89" s="28">
        <f t="shared" si="30"/>
        <v>0</v>
      </c>
      <c r="V89" s="28">
        <f t="shared" si="31"/>
        <v>0</v>
      </c>
      <c r="W89" s="31">
        <f t="shared" si="33"/>
        <v>498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7"/>
        <v>0</v>
      </c>
      <c r="L90" s="28">
        <f t="shared" si="32"/>
        <v>498</v>
      </c>
      <c r="M90" s="810"/>
      <c r="N90" s="810"/>
      <c r="O90" s="30" t="e">
        <f t="shared" si="36"/>
        <v>#DIV/0!</v>
      </c>
      <c r="P90" s="171"/>
      <c r="Q90" s="31">
        <f t="shared" si="37"/>
        <v>0</v>
      </c>
      <c r="R90" s="31"/>
      <c r="S90" s="28">
        <f t="shared" si="28"/>
        <v>0</v>
      </c>
      <c r="T90" s="28">
        <f t="shared" si="29"/>
        <v>0</v>
      </c>
      <c r="U90" s="28">
        <f t="shared" si="30"/>
        <v>0</v>
      </c>
      <c r="V90" s="28">
        <f t="shared" si="31"/>
        <v>0</v>
      </c>
      <c r="W90" s="31">
        <f t="shared" si="33"/>
        <v>498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7"/>
        <v>0</v>
      </c>
      <c r="L91" s="28">
        <f t="shared" si="32"/>
        <v>498</v>
      </c>
      <c r="M91" s="810"/>
      <c r="N91" s="810"/>
      <c r="O91" s="30" t="e">
        <f t="shared" si="36"/>
        <v>#DIV/0!</v>
      </c>
      <c r="P91" s="171"/>
      <c r="Q91" s="31">
        <f t="shared" si="37"/>
        <v>0</v>
      </c>
      <c r="R91" s="31"/>
      <c r="S91" s="28">
        <f t="shared" si="28"/>
        <v>0</v>
      </c>
      <c r="T91" s="28">
        <f t="shared" si="29"/>
        <v>0</v>
      </c>
      <c r="U91" s="28">
        <f t="shared" si="30"/>
        <v>0</v>
      </c>
      <c r="V91" s="28">
        <f t="shared" si="31"/>
        <v>0</v>
      </c>
      <c r="W91" s="31">
        <f t="shared" si="33"/>
        <v>498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7"/>
        <v>0</v>
      </c>
      <c r="L92" s="28">
        <f t="shared" si="32"/>
        <v>498</v>
      </c>
      <c r="M92" s="810"/>
      <c r="N92" s="810"/>
      <c r="O92" s="30" t="e">
        <f t="shared" si="36"/>
        <v>#DIV/0!</v>
      </c>
      <c r="P92" s="171"/>
      <c r="Q92" s="31">
        <f t="shared" si="37"/>
        <v>0</v>
      </c>
      <c r="R92" s="31"/>
      <c r="S92" s="28">
        <f t="shared" si="28"/>
        <v>0</v>
      </c>
      <c r="T92" s="28">
        <f t="shared" si="29"/>
        <v>0</v>
      </c>
      <c r="U92" s="28">
        <f t="shared" si="30"/>
        <v>0</v>
      </c>
      <c r="V92" s="28">
        <f t="shared" si="31"/>
        <v>0</v>
      </c>
      <c r="W92" s="31">
        <f t="shared" si="33"/>
        <v>498</v>
      </c>
      <c r="Y92" s="882" t="s">
        <v>158</v>
      </c>
      <c r="Z92" s="586" t="s">
        <v>283</v>
      </c>
      <c r="AA92" s="699">
        <f>(SUMIF($D$2:$D$57,"domiciliario",$I$2:$I$103))/1000</f>
        <v>19.395</v>
      </c>
      <c r="AB92" s="700">
        <f>(SUMIF($D$2:$D$57,"domiciliario",$T$2:$T$103))/1000</f>
        <v>19.395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7"/>
        <v>0</v>
      </c>
      <c r="L93" s="28">
        <f t="shared" si="32"/>
        <v>498</v>
      </c>
      <c r="M93" s="810"/>
      <c r="N93" s="810"/>
      <c r="O93" s="30" t="e">
        <f t="shared" si="36"/>
        <v>#DIV/0!</v>
      </c>
      <c r="P93" s="179"/>
      <c r="Q93" s="31">
        <f t="shared" si="37"/>
        <v>0</v>
      </c>
      <c r="R93" s="31"/>
      <c r="S93" s="28">
        <f t="shared" si="28"/>
        <v>0</v>
      </c>
      <c r="T93" s="28">
        <f t="shared" si="29"/>
        <v>0</v>
      </c>
      <c r="U93" s="28">
        <f t="shared" si="30"/>
        <v>0</v>
      </c>
      <c r="V93" s="28">
        <f t="shared" si="31"/>
        <v>0</v>
      </c>
      <c r="W93" s="31">
        <f t="shared" si="33"/>
        <v>498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7"/>
        <v>0</v>
      </c>
      <c r="L94" s="28">
        <f t="shared" si="32"/>
        <v>498</v>
      </c>
      <c r="M94" s="810"/>
      <c r="N94" s="810">
        <f>SUM(K94:K103)</f>
        <v>0</v>
      </c>
      <c r="O94" s="30">
        <f t="shared" ref="O94:O103" si="38">IF($N$94=0,0,+K94/$N$94)</f>
        <v>0</v>
      </c>
      <c r="P94" s="238"/>
      <c r="Q94" s="31">
        <f t="shared" si="37"/>
        <v>0</v>
      </c>
      <c r="R94" s="31"/>
      <c r="S94" s="28">
        <f t="shared" si="28"/>
        <v>0</v>
      </c>
      <c r="T94" s="28">
        <f t="shared" si="29"/>
        <v>0</v>
      </c>
      <c r="U94" s="28">
        <f t="shared" si="30"/>
        <v>0</v>
      </c>
      <c r="V94" s="28">
        <f t="shared" si="31"/>
        <v>0</v>
      </c>
      <c r="W94" s="31">
        <f t="shared" si="33"/>
        <v>498</v>
      </c>
      <c r="Y94" s="883"/>
      <c r="Z94" s="588" t="s">
        <v>80</v>
      </c>
      <c r="AA94" s="701">
        <f>(SUMIF($D$2:$D$57,"gnv",$I$2:$I$103))/1000</f>
        <v>0.32</v>
      </c>
      <c r="AB94" s="702">
        <f>(SUMIF($D$2:$D$57,"gnv",$T$2:$T$103))/1000</f>
        <v>0.32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7"/>
        <v>0</v>
      </c>
      <c r="L95" s="28">
        <f t="shared" si="32"/>
        <v>498</v>
      </c>
      <c r="M95" s="810"/>
      <c r="N95" s="810"/>
      <c r="O95" s="30">
        <f t="shared" si="38"/>
        <v>0</v>
      </c>
      <c r="P95" s="171"/>
      <c r="Q95" s="31">
        <f t="shared" si="37"/>
        <v>0</v>
      </c>
      <c r="R95" s="31"/>
      <c r="S95" s="28">
        <f t="shared" si="28"/>
        <v>0</v>
      </c>
      <c r="T95" s="28">
        <f t="shared" si="29"/>
        <v>0</v>
      </c>
      <c r="U95" s="28">
        <f t="shared" si="30"/>
        <v>0</v>
      </c>
      <c r="V95" s="28">
        <f t="shared" si="31"/>
        <v>0</v>
      </c>
      <c r="W95" s="31">
        <f t="shared" si="33"/>
        <v>498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8</v>
      </c>
      <c r="AB95" s="702">
        <f>(SUMIF($D$2:$D$57,"termico",$T$2:$T$103)+SUMIF($D$2:$D$57,"electrico",$T$2:$T$103)+SUMIF($D$2:$D$57,"térmico",$T$2:$T$103))/1000</f>
        <v>8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7"/>
        <v>0</v>
      </c>
      <c r="L96" s="28">
        <f t="shared" si="32"/>
        <v>498</v>
      </c>
      <c r="M96" s="810"/>
      <c r="N96" s="810"/>
      <c r="O96" s="30">
        <f t="shared" si="38"/>
        <v>0</v>
      </c>
      <c r="P96" s="171"/>
      <c r="Q96" s="31">
        <f t="shared" si="37"/>
        <v>0</v>
      </c>
      <c r="R96" s="31"/>
      <c r="S96" s="28">
        <f t="shared" si="28"/>
        <v>0</v>
      </c>
      <c r="T96" s="28">
        <f t="shared" si="29"/>
        <v>0</v>
      </c>
      <c r="U96" s="28">
        <f t="shared" si="30"/>
        <v>0</v>
      </c>
      <c r="V96" s="28">
        <f t="shared" si="31"/>
        <v>0</v>
      </c>
      <c r="W96" s="31">
        <f t="shared" si="33"/>
        <v>498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7"/>
        <v>0</v>
      </c>
      <c r="L97" s="28">
        <f t="shared" si="32"/>
        <v>498</v>
      </c>
      <c r="M97" s="810"/>
      <c r="N97" s="810"/>
      <c r="O97" s="30">
        <f t="shared" si="38"/>
        <v>0</v>
      </c>
      <c r="P97" s="171"/>
      <c r="Q97" s="31">
        <f t="shared" si="37"/>
        <v>0</v>
      </c>
      <c r="R97" s="31"/>
      <c r="S97" s="28">
        <f t="shared" si="28"/>
        <v>0</v>
      </c>
      <c r="T97" s="28">
        <f t="shared" si="29"/>
        <v>0</v>
      </c>
      <c r="U97" s="28">
        <f t="shared" si="30"/>
        <v>0</v>
      </c>
      <c r="V97" s="28">
        <f t="shared" si="31"/>
        <v>0</v>
      </c>
      <c r="W97" s="31">
        <f t="shared" si="33"/>
        <v>498</v>
      </c>
      <c r="Y97" s="825" t="s">
        <v>154</v>
      </c>
      <c r="Z97" s="489" t="s">
        <v>283</v>
      </c>
      <c r="AA97" s="705">
        <f>(SUMIF($D$2:$D$57,"domiciliario",$H$2:$H$103))/1000</f>
        <v>31.797999999999998</v>
      </c>
      <c r="AB97" s="706">
        <f>(SUMIF($D$2:$D$57,"domiciliario",$S$2:$S$103))/1000</f>
        <v>31.797999999999998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ref="K98:K103" si="39">SUM(H98:J98)</f>
        <v>0</v>
      </c>
      <c r="L98" s="28">
        <f t="shared" si="32"/>
        <v>498</v>
      </c>
      <c r="M98" s="810"/>
      <c r="N98" s="810"/>
      <c r="O98" s="30">
        <f t="shared" si="38"/>
        <v>0</v>
      </c>
      <c r="P98" s="171"/>
      <c r="Q98" s="31">
        <f t="shared" si="37"/>
        <v>0</v>
      </c>
      <c r="R98" s="31"/>
      <c r="S98" s="28">
        <f t="shared" ref="S98:S103" si="40">IF(H98&lt;&gt;0,+H98+Q98+R98,0)</f>
        <v>0</v>
      </c>
      <c r="T98" s="28">
        <f t="shared" ref="T98:T103" si="41">IF(I98&lt;&gt;0,+I98+Q98+R98,0)</f>
        <v>0</v>
      </c>
      <c r="U98" s="28">
        <f t="shared" ref="U98:U103" si="42">IF(J98&lt;&gt;0,+J98+Q98+R98,0)</f>
        <v>0</v>
      </c>
      <c r="V98" s="28">
        <f t="shared" ref="V98:V103" si="43">+S98+T98+U98</f>
        <v>0</v>
      </c>
      <c r="W98" s="31">
        <f t="shared" si="33"/>
        <v>498</v>
      </c>
      <c r="Y98" s="826"/>
      <c r="Z98" s="492" t="s">
        <v>284</v>
      </c>
      <c r="AA98" s="707">
        <f>(SUMIF($D$2:$D$57,"industrial",$H$2:$H$103))/1000</f>
        <v>16.18</v>
      </c>
      <c r="AB98" s="708">
        <f>(SUMIF($D$2:$D$57,"industrial",$S$2:$S$103))/1000</f>
        <v>16.18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39"/>
        <v>0</v>
      </c>
      <c r="L99" s="28">
        <f t="shared" ref="L99:L103" si="44">+L98-K99</f>
        <v>498</v>
      </c>
      <c r="M99" s="810"/>
      <c r="N99" s="810"/>
      <c r="O99" s="30">
        <f t="shared" si="38"/>
        <v>0</v>
      </c>
      <c r="P99" s="171"/>
      <c r="Q99" s="31">
        <f t="shared" si="37"/>
        <v>0</v>
      </c>
      <c r="R99" s="31"/>
      <c r="S99" s="28">
        <f t="shared" si="40"/>
        <v>0</v>
      </c>
      <c r="T99" s="28">
        <f t="shared" si="41"/>
        <v>0</v>
      </c>
      <c r="U99" s="28">
        <f t="shared" si="42"/>
        <v>0</v>
      </c>
      <c r="V99" s="28">
        <f t="shared" si="43"/>
        <v>0</v>
      </c>
      <c r="W99" s="31">
        <f t="shared" ref="W99:W103" si="45">+W98-V99</f>
        <v>498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39"/>
        <v>0</v>
      </c>
      <c r="L100" s="28">
        <f t="shared" si="44"/>
        <v>498</v>
      </c>
      <c r="M100" s="810"/>
      <c r="N100" s="810"/>
      <c r="O100" s="30">
        <f t="shared" si="38"/>
        <v>0</v>
      </c>
      <c r="P100" s="171"/>
      <c r="Q100" s="31">
        <f t="shared" si="37"/>
        <v>0</v>
      </c>
      <c r="R100" s="31"/>
      <c r="S100" s="28">
        <f t="shared" si="40"/>
        <v>0</v>
      </c>
      <c r="T100" s="28">
        <f t="shared" si="41"/>
        <v>0</v>
      </c>
      <c r="U100" s="28">
        <f t="shared" si="42"/>
        <v>0</v>
      </c>
      <c r="V100" s="28">
        <f t="shared" si="43"/>
        <v>0</v>
      </c>
      <c r="W100" s="31">
        <f t="shared" si="45"/>
        <v>498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103.169</v>
      </c>
      <c r="AB100" s="708">
        <f>(SUMIF($D$2:$D$57,"termico",$S$2:$S$103)+SUMIF($D$2:$D$57,"electrico",$S$2:$S$103)+SUMIF($D$2:$D$57,"térmico",$S$2:$S$103))/1000</f>
        <v>103.169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39"/>
        <v>0</v>
      </c>
      <c r="L101" s="28">
        <f t="shared" si="44"/>
        <v>498</v>
      </c>
      <c r="M101" s="810"/>
      <c r="N101" s="810"/>
      <c r="O101" s="30">
        <f t="shared" si="38"/>
        <v>0</v>
      </c>
      <c r="P101" s="171"/>
      <c r="Q101" s="31">
        <f t="shared" si="37"/>
        <v>0</v>
      </c>
      <c r="R101" s="31"/>
      <c r="S101" s="28">
        <f t="shared" si="40"/>
        <v>0</v>
      </c>
      <c r="T101" s="28">
        <f t="shared" si="41"/>
        <v>0</v>
      </c>
      <c r="U101" s="28">
        <f t="shared" si="42"/>
        <v>0</v>
      </c>
      <c r="V101" s="28">
        <f t="shared" si="43"/>
        <v>0</v>
      </c>
      <c r="W101" s="31">
        <f t="shared" si="45"/>
        <v>498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39"/>
        <v>0</v>
      </c>
      <c r="L102" s="28">
        <f t="shared" si="44"/>
        <v>498</v>
      </c>
      <c r="M102" s="810"/>
      <c r="N102" s="810"/>
      <c r="O102" s="30">
        <f t="shared" si="38"/>
        <v>0</v>
      </c>
      <c r="P102" s="171"/>
      <c r="Q102" s="31">
        <f t="shared" si="37"/>
        <v>0</v>
      </c>
      <c r="R102" s="31"/>
      <c r="S102" s="28">
        <f t="shared" si="40"/>
        <v>0</v>
      </c>
      <c r="T102" s="28">
        <f t="shared" si="41"/>
        <v>0</v>
      </c>
      <c r="U102" s="28">
        <f t="shared" si="42"/>
        <v>0</v>
      </c>
      <c r="V102" s="28">
        <f t="shared" si="43"/>
        <v>0</v>
      </c>
      <c r="W102" s="31">
        <f t="shared" si="45"/>
        <v>498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34.4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39"/>
        <v>0</v>
      </c>
      <c r="L103" s="28">
        <f t="shared" si="44"/>
        <v>498</v>
      </c>
      <c r="M103" s="810"/>
      <c r="N103" s="810"/>
      <c r="O103" s="30">
        <f t="shared" si="38"/>
        <v>0</v>
      </c>
      <c r="P103" s="179"/>
      <c r="Q103" s="31">
        <f t="shared" si="37"/>
        <v>0</v>
      </c>
      <c r="R103" s="31"/>
      <c r="S103" s="28">
        <f t="shared" si="40"/>
        <v>0</v>
      </c>
      <c r="T103" s="28">
        <f t="shared" si="41"/>
        <v>0</v>
      </c>
      <c r="U103" s="28">
        <f t="shared" si="42"/>
        <v>0</v>
      </c>
      <c r="V103" s="28">
        <f t="shared" si="43"/>
        <v>0</v>
      </c>
      <c r="W103" s="31">
        <f t="shared" si="45"/>
        <v>498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151147</v>
      </c>
      <c r="I105" s="252">
        <f>+SUM(I2:I103)</f>
        <v>27715</v>
      </c>
      <c r="J105" s="252">
        <f>+SUM(J2:J103)</f>
        <v>34400</v>
      </c>
      <c r="K105" s="252">
        <f>SUM(K2:K103)</f>
        <v>213262</v>
      </c>
      <c r="L105" s="253">
        <f>+L103</f>
        <v>498</v>
      </c>
      <c r="M105" s="252">
        <f>SUM(M2:M103)</f>
        <v>0</v>
      </c>
      <c r="N105" s="252">
        <f>SUM(N2:N103)</f>
        <v>213262</v>
      </c>
      <c r="O105" s="252"/>
      <c r="P105" s="252">
        <f>SUM(P2:P103)</f>
        <v>0</v>
      </c>
      <c r="Q105" s="252">
        <f>SUM(Q2:Q103)</f>
        <v>0</v>
      </c>
      <c r="R105" s="252">
        <f>SUM(R2:R103)</f>
        <v>0</v>
      </c>
      <c r="S105" s="252">
        <f>SUM(S2:S103)</f>
        <v>151147</v>
      </c>
      <c r="T105" s="252">
        <f>+SUM(T2:T103)</f>
        <v>27715</v>
      </c>
      <c r="U105" s="252">
        <f>SUM(U2:U103)</f>
        <v>34400</v>
      </c>
      <c r="V105" s="252">
        <f>SUM(V2:V103)</f>
        <v>213262</v>
      </c>
      <c r="W105" s="254">
        <f>+W103</f>
        <v>498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>
        <v>141781</v>
      </c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>
        <f>H106-H105</f>
        <v>-9366</v>
      </c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192762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-14570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N50:N55"/>
    <mergeCell ref="P50:P55"/>
    <mergeCell ref="Y55:AD55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34" priority="3" operator="lessThan">
      <formula>$AA$78</formula>
    </cfRule>
    <cfRule type="cellIs" dxfId="33" priority="5" operator="greaterThan">
      <formula>$AE$78</formula>
    </cfRule>
  </conditionalFormatting>
  <conditionalFormatting sqref="AA79">
    <cfRule type="cellIs" dxfId="32" priority="4" operator="greaterThan">
      <formula>$AE$79</formula>
    </cfRule>
  </conditionalFormatting>
  <conditionalFormatting sqref="AA80">
    <cfRule type="cellIs" dxfId="31" priority="2" operator="greaterThan">
      <formula>$AE$79</formula>
    </cfRule>
  </conditionalFormatting>
  <conditionalFormatting sqref="AU4:AU23">
    <cfRule type="cellIs" dxfId="3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86"/>
  <sheetViews>
    <sheetView topLeftCell="U37" zoomScale="90" zoomScaleNormal="90" workbookViewId="0">
      <selection activeCell="AD58" sqref="AD58:AD60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 t="shared" ref="K2:K65" si="0">SUM(H2:J2)</f>
        <v>3000</v>
      </c>
      <c r="L2" s="28">
        <f>AA4-K2</f>
        <v>210760</v>
      </c>
      <c r="M2" s="29"/>
      <c r="N2" s="798">
        <f>SUM(K2:K26)</f>
        <v>169555</v>
      </c>
      <c r="O2" s="30">
        <f t="shared" ref="O2:O17" si="1">+K2/$N$2</f>
        <v>1.7693373831500103E-2</v>
      </c>
      <c r="P2" s="801"/>
      <c r="Q2" s="31">
        <f t="shared" ref="Q2:Q15" si="2">IF($P$2=0,0,(-($P$2*O2)+K2)-K2)</f>
        <v>0</v>
      </c>
      <c r="R2" s="31"/>
      <c r="S2" s="28">
        <f t="shared" ref="S2:S65" si="3">IF(H2&lt;&gt;0,+H2+Q2+R2,0)</f>
        <v>3000</v>
      </c>
      <c r="T2" s="28">
        <f t="shared" ref="T2:T65" si="4">IF(I2&lt;&gt;0,+I2+Q2+R2,0)</f>
        <v>0</v>
      </c>
      <c r="U2" s="28">
        <f t="shared" ref="U2:U65" si="5">IF(J2&lt;&gt;0,+J2+Q2+R2,0)</f>
        <v>0</v>
      </c>
      <c r="V2" s="28">
        <f t="shared" ref="V2:V65" si="6">+S2+T2+U2</f>
        <v>3000</v>
      </c>
      <c r="W2" s="31">
        <f>Z24-V2</f>
        <v>210760</v>
      </c>
      <c r="X2" s="32">
        <f t="shared" ref="X2:X17" si="7"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50" t="s">
        <v>31</v>
      </c>
      <c r="AE2" s="750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si="0"/>
        <v>1100</v>
      </c>
      <c r="L3" s="28">
        <f t="shared" ref="L3:L66" si="8">+L2-K3</f>
        <v>209660</v>
      </c>
      <c r="M3" s="29"/>
      <c r="N3" s="799"/>
      <c r="O3" s="30">
        <f t="shared" si="1"/>
        <v>6.4875704048833714E-3</v>
      </c>
      <c r="P3" s="802"/>
      <c r="Q3" s="31">
        <f t="shared" si="2"/>
        <v>0</v>
      </c>
      <c r="R3" s="31"/>
      <c r="S3" s="28">
        <f t="shared" si="3"/>
        <v>0</v>
      </c>
      <c r="T3" s="28">
        <f t="shared" si="4"/>
        <v>1100</v>
      </c>
      <c r="U3" s="28">
        <f t="shared" si="5"/>
        <v>0</v>
      </c>
      <c r="V3" s="28">
        <f t="shared" si="6"/>
        <v>1100</v>
      </c>
      <c r="W3" s="31">
        <f t="shared" ref="W3:W66" si="9">+W2-V3</f>
        <v>209660</v>
      </c>
      <c r="X3" s="32">
        <f t="shared" si="7"/>
        <v>0</v>
      </c>
      <c r="Y3" s="37" t="s">
        <v>34</v>
      </c>
      <c r="Z3" s="38">
        <f>ROUND((Z13*57%),0)</f>
        <v>284145</v>
      </c>
      <c r="AA3" s="39">
        <f>ROUND((+Z14*0.57),0)</f>
        <v>283357</v>
      </c>
      <c r="AB3" s="454">
        <v>62121</v>
      </c>
      <c r="AC3" s="455">
        <v>146374</v>
      </c>
      <c r="AD3" s="40">
        <v>45600</v>
      </c>
      <c r="AE3" s="736">
        <f>SUM(AB3:AD3)</f>
        <v>254095</v>
      </c>
      <c r="AF3" s="41">
        <f>AA3-AE3</f>
        <v>29262</v>
      </c>
      <c r="AG3" s="42">
        <f>AA3-AB3-AC3-AD3</f>
        <v>29262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8"/>
        <v>198467</v>
      </c>
      <c r="M4" s="29"/>
      <c r="N4" s="799"/>
      <c r="O4" s="30">
        <f t="shared" si="1"/>
        <v>6.6013977765326887E-2</v>
      </c>
      <c r="P4" s="802"/>
      <c r="Q4" s="31">
        <f t="shared" si="2"/>
        <v>0</v>
      </c>
      <c r="R4" s="31"/>
      <c r="S4" s="28">
        <f t="shared" si="3"/>
        <v>0</v>
      </c>
      <c r="T4" s="28">
        <f t="shared" si="4"/>
        <v>11193</v>
      </c>
      <c r="U4" s="28">
        <f t="shared" si="5"/>
        <v>0</v>
      </c>
      <c r="V4" s="28">
        <f t="shared" si="6"/>
        <v>11193</v>
      </c>
      <c r="W4" s="31">
        <f t="shared" si="9"/>
        <v>198467</v>
      </c>
      <c r="X4" s="32">
        <f t="shared" si="7"/>
        <v>0</v>
      </c>
      <c r="Y4" s="37" t="s">
        <v>38</v>
      </c>
      <c r="Z4" s="38">
        <f>ROUND((Z13*43%),0)</f>
        <v>214355</v>
      </c>
      <c r="AA4" s="39">
        <f>ROUND((+Z14*0.43),0)</f>
        <v>213760</v>
      </c>
      <c r="AB4" s="43">
        <f>T105</f>
        <v>27715</v>
      </c>
      <c r="AC4" s="43">
        <f>S105</f>
        <v>151147</v>
      </c>
      <c r="AD4" s="40">
        <f>U105</f>
        <v>34400</v>
      </c>
      <c r="AE4" s="736">
        <f>SUM(AB4:AD4)</f>
        <v>213262</v>
      </c>
      <c r="AF4" s="41">
        <f>AA4-AE4</f>
        <v>498</v>
      </c>
      <c r="AG4" s="42">
        <f>AA4-AB4-AC4-AD4</f>
        <v>498</v>
      </c>
      <c r="AH4" s="751">
        <f>AG4/1000</f>
        <v>0.498</v>
      </c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8"/>
        <v>197267</v>
      </c>
      <c r="M5" s="29"/>
      <c r="N5" s="799"/>
      <c r="O5" s="30">
        <f t="shared" si="1"/>
        <v>7.0773495326000415E-3</v>
      </c>
      <c r="P5" s="802"/>
      <c r="Q5" s="31">
        <f t="shared" si="2"/>
        <v>0</v>
      </c>
      <c r="R5" s="31"/>
      <c r="S5" s="28">
        <f t="shared" si="3"/>
        <v>0</v>
      </c>
      <c r="T5" s="28">
        <f t="shared" si="4"/>
        <v>1200</v>
      </c>
      <c r="U5" s="28">
        <f t="shared" si="5"/>
        <v>0</v>
      </c>
      <c r="V5" s="28">
        <f t="shared" si="6"/>
        <v>1200</v>
      </c>
      <c r="W5" s="31">
        <f t="shared" si="9"/>
        <v>197267</v>
      </c>
      <c r="X5" s="32">
        <f t="shared" si="7"/>
        <v>0</v>
      </c>
      <c r="Y5" s="44" t="s">
        <v>41</v>
      </c>
      <c r="Z5" s="38">
        <f>SUM(Z3:Z4)</f>
        <v>498500</v>
      </c>
      <c r="AA5" s="45">
        <f>SUM(AA3:AA4)</f>
        <v>497117</v>
      </c>
      <c r="AB5" s="46">
        <f>SUM(AB3:AB4)</f>
        <v>89836</v>
      </c>
      <c r="AC5" s="41">
        <f>SUM(AC3:AC4)</f>
        <v>297521</v>
      </c>
      <c r="AD5" s="40">
        <f>SUM(AD3:AD4)</f>
        <v>80000</v>
      </c>
      <c r="AE5" s="41">
        <f>SUM(AB5:AD5)</f>
        <v>467357</v>
      </c>
      <c r="AF5" s="47">
        <f>SUM(AF3:AF4)</f>
        <v>29760</v>
      </c>
      <c r="AG5" s="47">
        <f>SUM(AG3:AG4)</f>
        <v>29760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8"/>
        <v>185267</v>
      </c>
      <c r="M6" s="29"/>
      <c r="N6" s="799"/>
      <c r="O6" s="30">
        <f t="shared" si="1"/>
        <v>7.0773495326000413E-2</v>
      </c>
      <c r="P6" s="802"/>
      <c r="Q6" s="31">
        <f t="shared" si="2"/>
        <v>0</v>
      </c>
      <c r="R6" s="48"/>
      <c r="S6" s="28">
        <f t="shared" si="3"/>
        <v>12000</v>
      </c>
      <c r="T6" s="28">
        <f t="shared" si="4"/>
        <v>0</v>
      </c>
      <c r="U6" s="28">
        <f t="shared" si="5"/>
        <v>0</v>
      </c>
      <c r="V6" s="28">
        <f t="shared" si="6"/>
        <v>12000</v>
      </c>
      <c r="W6" s="31">
        <f t="shared" si="9"/>
        <v>185267</v>
      </c>
      <c r="X6" s="32">
        <f t="shared" si="7"/>
        <v>0</v>
      </c>
      <c r="Z6" s="49">
        <f>5000*43%</f>
        <v>2150</v>
      </c>
      <c r="AA6" s="50"/>
      <c r="AB6" s="17"/>
      <c r="AC6" s="50"/>
      <c r="AD6" s="51">
        <f>80000-AD4</f>
        <v>45600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1940+11997</f>
        <v>13937</v>
      </c>
      <c r="I7" s="518">
        <f>800+460+2803</f>
        <v>4063</v>
      </c>
      <c r="J7" s="26"/>
      <c r="K7" s="27">
        <f t="shared" si="0"/>
        <v>18000</v>
      </c>
      <c r="L7" s="28">
        <f t="shared" si="8"/>
        <v>167267</v>
      </c>
      <c r="M7" s="29"/>
      <c r="N7" s="799"/>
      <c r="O7" s="30">
        <f t="shared" si="1"/>
        <v>0.10616024298900062</v>
      </c>
      <c r="P7" s="802"/>
      <c r="Q7" s="31">
        <f t="shared" si="2"/>
        <v>0</v>
      </c>
      <c r="R7" s="31"/>
      <c r="S7" s="28">
        <f t="shared" si="3"/>
        <v>13937</v>
      </c>
      <c r="T7" s="28">
        <f t="shared" si="4"/>
        <v>4063</v>
      </c>
      <c r="U7" s="28">
        <f t="shared" si="5"/>
        <v>0</v>
      </c>
      <c r="V7" s="28">
        <f t="shared" si="6"/>
        <v>18000</v>
      </c>
      <c r="W7" s="31">
        <f t="shared" si="9"/>
        <v>167267</v>
      </c>
      <c r="X7" s="32">
        <f t="shared" si="7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8"/>
        <v>164767</v>
      </c>
      <c r="M8" s="29"/>
      <c r="N8" s="799"/>
      <c r="O8" s="30">
        <f t="shared" si="1"/>
        <v>1.4744478192916752E-2</v>
      </c>
      <c r="P8" s="802"/>
      <c r="Q8" s="31">
        <f t="shared" si="2"/>
        <v>0</v>
      </c>
      <c r="R8" s="31"/>
      <c r="S8" s="28">
        <f t="shared" si="3"/>
        <v>2500</v>
      </c>
      <c r="T8" s="28">
        <f t="shared" si="4"/>
        <v>0</v>
      </c>
      <c r="U8" s="28">
        <f t="shared" si="5"/>
        <v>0</v>
      </c>
      <c r="V8" s="28">
        <f t="shared" si="6"/>
        <v>2500</v>
      </c>
      <c r="W8" s="31">
        <f t="shared" si="9"/>
        <v>164767</v>
      </c>
      <c r="X8" s="32">
        <f t="shared" si="7"/>
        <v>0</v>
      </c>
      <c r="Y8" s="14" t="s">
        <v>47</v>
      </c>
      <c r="Z8" s="732">
        <f ca="1">TODAY()+1</f>
        <v>41938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361</v>
      </c>
      <c r="I9" s="518">
        <v>1839</v>
      </c>
      <c r="J9" s="26"/>
      <c r="K9" s="27">
        <f t="shared" si="0"/>
        <v>2200</v>
      </c>
      <c r="L9" s="28">
        <f t="shared" si="8"/>
        <v>162567</v>
      </c>
      <c r="M9" s="29"/>
      <c r="N9" s="799"/>
      <c r="O9" s="30">
        <f t="shared" si="1"/>
        <v>1.2975140809766743E-2</v>
      </c>
      <c r="P9" s="802"/>
      <c r="Q9" s="31">
        <f t="shared" si="2"/>
        <v>0</v>
      </c>
      <c r="R9" s="31"/>
      <c r="S9" s="28">
        <f t="shared" si="3"/>
        <v>361</v>
      </c>
      <c r="T9" s="28">
        <f t="shared" si="4"/>
        <v>1839</v>
      </c>
      <c r="U9" s="28">
        <f t="shared" si="5"/>
        <v>0</v>
      </c>
      <c r="V9" s="28">
        <f t="shared" si="6"/>
        <v>2200</v>
      </c>
      <c r="W9" s="31">
        <f t="shared" si="9"/>
        <v>162567</v>
      </c>
      <c r="X9" s="32">
        <f t="shared" si="7"/>
        <v>0</v>
      </c>
      <c r="Y9" s="14" t="s">
        <v>189</v>
      </c>
      <c r="Z9" s="58">
        <v>498500</v>
      </c>
      <c r="AA9" s="59">
        <f>Z9*14.65/14.73</f>
        <v>495792.60013577732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8"/>
        <v>142567</v>
      </c>
      <c r="M10" s="29"/>
      <c r="N10" s="799"/>
      <c r="O10" s="30">
        <f t="shared" si="1"/>
        <v>0.11795582554333402</v>
      </c>
      <c r="P10" s="802"/>
      <c r="Q10" s="31">
        <f t="shared" si="2"/>
        <v>0</v>
      </c>
      <c r="R10" s="31">
        <v>0</v>
      </c>
      <c r="S10" s="28">
        <f t="shared" si="3"/>
        <v>15000</v>
      </c>
      <c r="T10" s="28">
        <f t="shared" si="4"/>
        <v>5000</v>
      </c>
      <c r="U10" s="28">
        <f t="shared" si="5"/>
        <v>0</v>
      </c>
      <c r="V10" s="28">
        <f t="shared" si="6"/>
        <v>20000</v>
      </c>
      <c r="W10" s="31">
        <f t="shared" si="9"/>
        <v>142567</v>
      </c>
      <c r="X10" s="32">
        <f t="shared" si="7"/>
        <v>0</v>
      </c>
      <c r="Y10" s="14" t="s">
        <v>191</v>
      </c>
      <c r="Z10" s="58">
        <f>ROUND((Z9*Z30),0)</f>
        <v>497117</v>
      </c>
      <c r="AA10" s="59">
        <f>Z10*14.65/14.73</f>
        <v>494417.11133740662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8"/>
        <v>124567</v>
      </c>
      <c r="M11" s="29"/>
      <c r="N11" s="799"/>
      <c r="O11" s="30">
        <f t="shared" si="1"/>
        <v>0.10616024298900062</v>
      </c>
      <c r="P11" s="802"/>
      <c r="Q11" s="31">
        <f t="shared" si="2"/>
        <v>0</v>
      </c>
      <c r="R11" s="31">
        <v>0</v>
      </c>
      <c r="S11" s="28">
        <f t="shared" si="3"/>
        <v>18000</v>
      </c>
      <c r="T11" s="28">
        <f t="shared" si="4"/>
        <v>0</v>
      </c>
      <c r="U11" s="28">
        <f t="shared" si="5"/>
        <v>0</v>
      </c>
      <c r="V11" s="28">
        <f t="shared" si="6"/>
        <v>18000</v>
      </c>
      <c r="W11" s="31">
        <f t="shared" si="9"/>
        <v>124567</v>
      </c>
      <c r="X11" s="32">
        <f t="shared" si="7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8"/>
        <v>120967</v>
      </c>
      <c r="M12" s="29"/>
      <c r="N12" s="799"/>
      <c r="O12" s="30">
        <f t="shared" si="1"/>
        <v>2.1232048597800125E-2</v>
      </c>
      <c r="P12" s="802"/>
      <c r="Q12" s="31">
        <f t="shared" si="2"/>
        <v>0</v>
      </c>
      <c r="R12" s="31">
        <v>0</v>
      </c>
      <c r="S12" s="28">
        <f t="shared" si="3"/>
        <v>3600</v>
      </c>
      <c r="T12" s="28">
        <f t="shared" si="4"/>
        <v>0</v>
      </c>
      <c r="U12" s="28">
        <f t="shared" si="5"/>
        <v>0</v>
      </c>
      <c r="V12" s="28">
        <f t="shared" si="6"/>
        <v>3600</v>
      </c>
      <c r="W12" s="31">
        <f t="shared" si="9"/>
        <v>120967</v>
      </c>
      <c r="X12" s="32">
        <f t="shared" si="7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8"/>
        <v>114967</v>
      </c>
      <c r="M13" s="29"/>
      <c r="N13" s="799"/>
      <c r="O13" s="30">
        <f t="shared" si="1"/>
        <v>3.5386747663000206E-2</v>
      </c>
      <c r="P13" s="802"/>
      <c r="Q13" s="31">
        <f t="shared" si="2"/>
        <v>0</v>
      </c>
      <c r="R13" s="31">
        <v>0</v>
      </c>
      <c r="S13" s="28">
        <f t="shared" si="3"/>
        <v>6000</v>
      </c>
      <c r="T13" s="28">
        <f t="shared" si="4"/>
        <v>0</v>
      </c>
      <c r="U13" s="28">
        <f t="shared" si="5"/>
        <v>0</v>
      </c>
      <c r="V13" s="28">
        <f t="shared" si="6"/>
        <v>6000</v>
      </c>
      <c r="W13" s="31">
        <f t="shared" si="9"/>
        <v>114967</v>
      </c>
      <c r="X13" s="32">
        <f t="shared" si="7"/>
        <v>0</v>
      </c>
      <c r="Y13" s="14" t="s">
        <v>67</v>
      </c>
      <c r="Z13" s="67">
        <f>Z14/Z30</f>
        <v>498499.79560537456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3362</v>
      </c>
      <c r="I14" s="26">
        <v>0</v>
      </c>
      <c r="J14" s="26"/>
      <c r="K14" s="27">
        <f t="shared" si="0"/>
        <v>3362</v>
      </c>
      <c r="L14" s="28">
        <f t="shared" si="8"/>
        <v>111605</v>
      </c>
      <c r="M14" s="29"/>
      <c r="N14" s="799"/>
      <c r="O14" s="30">
        <f t="shared" si="1"/>
        <v>1.9828374273834447E-2</v>
      </c>
      <c r="P14" s="802"/>
      <c r="Q14" s="31">
        <f t="shared" si="2"/>
        <v>0</v>
      </c>
      <c r="R14" s="31">
        <v>0</v>
      </c>
      <c r="S14" s="28">
        <f t="shared" si="3"/>
        <v>3362</v>
      </c>
      <c r="T14" s="28">
        <f t="shared" si="4"/>
        <v>0</v>
      </c>
      <c r="U14" s="28">
        <f t="shared" si="5"/>
        <v>0</v>
      </c>
      <c r="V14" s="28">
        <f t="shared" si="6"/>
        <v>3362</v>
      </c>
      <c r="W14" s="31">
        <f t="shared" si="9"/>
        <v>111605</v>
      </c>
      <c r="X14" s="32">
        <f t="shared" si="7"/>
        <v>0</v>
      </c>
      <c r="Y14" s="14" t="s">
        <v>70</v>
      </c>
      <c r="Z14" s="67">
        <f>+Z10-(Z11+Z12)</f>
        <v>497117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6000</v>
      </c>
      <c r="I15" s="26"/>
      <c r="J15" s="26"/>
      <c r="K15" s="27">
        <f t="shared" si="0"/>
        <v>6000</v>
      </c>
      <c r="L15" s="28">
        <f t="shared" si="8"/>
        <v>105605</v>
      </c>
      <c r="M15" s="29"/>
      <c r="N15" s="799"/>
      <c r="O15" s="30">
        <f t="shared" si="1"/>
        <v>3.5386747663000206E-2</v>
      </c>
      <c r="P15" s="802"/>
      <c r="Q15" s="31">
        <f t="shared" si="2"/>
        <v>0</v>
      </c>
      <c r="R15" s="31">
        <v>0</v>
      </c>
      <c r="S15" s="28">
        <f t="shared" si="3"/>
        <v>6000</v>
      </c>
      <c r="T15" s="28">
        <f t="shared" si="4"/>
        <v>0</v>
      </c>
      <c r="U15" s="28">
        <f t="shared" si="5"/>
        <v>0</v>
      </c>
      <c r="V15" s="28">
        <f t="shared" si="6"/>
        <v>6000</v>
      </c>
      <c r="W15" s="31">
        <f t="shared" si="9"/>
        <v>105605</v>
      </c>
      <c r="X15" s="32">
        <f t="shared" si="7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/>
      <c r="I16" s="26"/>
      <c r="J16" s="26"/>
      <c r="K16" s="27">
        <f t="shared" si="0"/>
        <v>0</v>
      </c>
      <c r="L16" s="28">
        <f t="shared" si="8"/>
        <v>105605</v>
      </c>
      <c r="M16" s="29"/>
      <c r="N16" s="799"/>
      <c r="O16" s="30">
        <f t="shared" si="1"/>
        <v>0</v>
      </c>
      <c r="P16" s="802"/>
      <c r="Q16" s="31">
        <v>0</v>
      </c>
      <c r="R16" s="31">
        <v>0</v>
      </c>
      <c r="S16" s="28">
        <f t="shared" si="3"/>
        <v>0</v>
      </c>
      <c r="T16" s="28">
        <f t="shared" si="4"/>
        <v>0</v>
      </c>
      <c r="U16" s="28">
        <f t="shared" si="5"/>
        <v>0</v>
      </c>
      <c r="V16" s="28">
        <f t="shared" si="6"/>
        <v>0</v>
      </c>
      <c r="W16" s="31">
        <f t="shared" si="9"/>
        <v>105605</v>
      </c>
      <c r="X16" s="32">
        <f t="shared" si="7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3000</v>
      </c>
      <c r="J17" s="26"/>
      <c r="K17" s="27">
        <f t="shared" si="0"/>
        <v>3000</v>
      </c>
      <c r="L17" s="28">
        <f t="shared" si="8"/>
        <v>102605</v>
      </c>
      <c r="M17" s="29"/>
      <c r="N17" s="799"/>
      <c r="O17" s="30">
        <f t="shared" si="1"/>
        <v>1.7693373831500103E-2</v>
      </c>
      <c r="P17" s="802"/>
      <c r="Q17" s="31">
        <f t="shared" ref="Q17:Q29" si="10">IF($P$2=0,0,(-($P$2*O17)+K17)-K17)</f>
        <v>0</v>
      </c>
      <c r="R17" s="31">
        <v>0</v>
      </c>
      <c r="S17" s="28">
        <f t="shared" si="3"/>
        <v>0</v>
      </c>
      <c r="T17" s="28">
        <f t="shared" si="4"/>
        <v>3000</v>
      </c>
      <c r="U17" s="28">
        <f t="shared" si="5"/>
        <v>0</v>
      </c>
      <c r="V17" s="28">
        <f t="shared" si="6"/>
        <v>3000</v>
      </c>
      <c r="W17" s="31">
        <f t="shared" si="9"/>
        <v>102605</v>
      </c>
      <c r="X17" s="32">
        <f t="shared" si="7"/>
        <v>0</v>
      </c>
      <c r="AA17" s="35"/>
      <c r="AB17" s="790">
        <f>+Z61-Z24-((Z12+Z11)*0.43)</f>
        <v>-498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320</v>
      </c>
      <c r="J18" s="26"/>
      <c r="K18" s="27">
        <f t="shared" si="0"/>
        <v>320</v>
      </c>
      <c r="L18" s="28">
        <f t="shared" si="8"/>
        <v>102285</v>
      </c>
      <c r="M18" s="29"/>
      <c r="N18" s="799"/>
      <c r="O18" s="30"/>
      <c r="P18" s="802"/>
      <c r="Q18" s="31">
        <f t="shared" si="10"/>
        <v>0</v>
      </c>
      <c r="R18" s="31">
        <v>0</v>
      </c>
      <c r="S18" s="28">
        <f t="shared" si="3"/>
        <v>0</v>
      </c>
      <c r="T18" s="28">
        <f t="shared" si="4"/>
        <v>320</v>
      </c>
      <c r="U18" s="28">
        <f t="shared" si="5"/>
        <v>0</v>
      </c>
      <c r="V18" s="28">
        <f t="shared" si="6"/>
        <v>320</v>
      </c>
      <c r="W18" s="31">
        <f t="shared" si="9"/>
        <v>102285</v>
      </c>
      <c r="X18" s="32"/>
      <c r="Y18" s="14" t="s">
        <v>77</v>
      </c>
      <c r="Z18" s="71">
        <f>ROUND(Z14*0.43,0)</f>
        <v>213760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2680</v>
      </c>
      <c r="I19" s="26"/>
      <c r="J19" s="26"/>
      <c r="K19" s="27">
        <f t="shared" si="0"/>
        <v>2680</v>
      </c>
      <c r="L19" s="28">
        <f t="shared" si="8"/>
        <v>99605</v>
      </c>
      <c r="M19" s="29"/>
      <c r="N19" s="799"/>
      <c r="O19" s="30">
        <f>+K19/$N$2</f>
        <v>1.5806080622806758E-2</v>
      </c>
      <c r="P19" s="802"/>
      <c r="Q19" s="31">
        <f t="shared" si="10"/>
        <v>0</v>
      </c>
      <c r="R19" s="31">
        <v>0</v>
      </c>
      <c r="S19" s="28">
        <f t="shared" si="3"/>
        <v>2680</v>
      </c>
      <c r="T19" s="28">
        <f t="shared" si="4"/>
        <v>0</v>
      </c>
      <c r="U19" s="28">
        <f t="shared" si="5"/>
        <v>0</v>
      </c>
      <c r="V19" s="28">
        <f t="shared" si="6"/>
        <v>2680</v>
      </c>
      <c r="W19" s="31">
        <f t="shared" si="9"/>
        <v>99605</v>
      </c>
      <c r="X19" s="32">
        <f>W19-L19</f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8"/>
        <v>98105</v>
      </c>
      <c r="M20" s="29"/>
      <c r="N20" s="799"/>
      <c r="O20" s="30">
        <f>+K20/$N$2</f>
        <v>8.8466869157500516E-3</v>
      </c>
      <c r="P20" s="802"/>
      <c r="Q20" s="31">
        <f t="shared" si="10"/>
        <v>0</v>
      </c>
      <c r="R20" s="31">
        <v>0</v>
      </c>
      <c r="S20" s="28">
        <f t="shared" si="3"/>
        <v>1500</v>
      </c>
      <c r="T20" s="28">
        <f t="shared" si="4"/>
        <v>0</v>
      </c>
      <c r="U20" s="28">
        <f t="shared" si="5"/>
        <v>0</v>
      </c>
      <c r="V20" s="28">
        <f t="shared" si="6"/>
        <v>1500</v>
      </c>
      <c r="W20" s="31">
        <f t="shared" si="9"/>
        <v>98105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8"/>
        <v>98105</v>
      </c>
      <c r="M21" s="29"/>
      <c r="N21" s="799"/>
      <c r="O21" s="30"/>
      <c r="P21" s="802"/>
      <c r="Q21" s="31">
        <f t="shared" si="10"/>
        <v>0</v>
      </c>
      <c r="R21" s="31">
        <v>0</v>
      </c>
      <c r="S21" s="28">
        <f t="shared" si="3"/>
        <v>0</v>
      </c>
      <c r="T21" s="28">
        <f t="shared" si="4"/>
        <v>0</v>
      </c>
      <c r="U21" s="28">
        <f t="shared" si="5"/>
        <v>0</v>
      </c>
      <c r="V21" s="28">
        <f t="shared" si="6"/>
        <v>0</v>
      </c>
      <c r="W21" s="31">
        <f t="shared" si="9"/>
        <v>98105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8"/>
        <v>90605</v>
      </c>
      <c r="M22" s="29"/>
      <c r="N22" s="799"/>
      <c r="O22" s="30">
        <f>+K22/$N$2</f>
        <v>4.4233434578750258E-2</v>
      </c>
      <c r="P22" s="802"/>
      <c r="Q22" s="31">
        <f t="shared" si="10"/>
        <v>0</v>
      </c>
      <c r="R22" s="31">
        <v>0</v>
      </c>
      <c r="S22" s="28">
        <f t="shared" si="3"/>
        <v>7500</v>
      </c>
      <c r="T22" s="28">
        <f t="shared" si="4"/>
        <v>0</v>
      </c>
      <c r="U22" s="28">
        <f t="shared" si="5"/>
        <v>0</v>
      </c>
      <c r="V22" s="28">
        <f t="shared" si="6"/>
        <v>7500</v>
      </c>
      <c r="W22" s="31">
        <f t="shared" si="9"/>
        <v>90605</v>
      </c>
      <c r="X22" s="32">
        <f>W22-L22</f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8"/>
        <v>90605</v>
      </c>
      <c r="M23" s="29"/>
      <c r="N23" s="799"/>
      <c r="O23" s="30"/>
      <c r="P23" s="802"/>
      <c r="Q23" s="31">
        <f t="shared" si="10"/>
        <v>0</v>
      </c>
      <c r="R23" s="31"/>
      <c r="S23" s="28">
        <f t="shared" si="3"/>
        <v>0</v>
      </c>
      <c r="T23" s="28">
        <f t="shared" si="4"/>
        <v>0</v>
      </c>
      <c r="U23" s="28">
        <f t="shared" si="5"/>
        <v>0</v>
      </c>
      <c r="V23" s="28">
        <f t="shared" si="6"/>
        <v>0</v>
      </c>
      <c r="W23" s="31">
        <f t="shared" si="9"/>
        <v>90605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8"/>
        <v>90605</v>
      </c>
      <c r="M24" s="29"/>
      <c r="N24" s="799"/>
      <c r="O24" s="30">
        <f t="shared" ref="O24:O29" si="11">+K24/$N$2</f>
        <v>0</v>
      </c>
      <c r="P24" s="802"/>
      <c r="Q24" s="31">
        <f t="shared" si="10"/>
        <v>0</v>
      </c>
      <c r="R24" s="31">
        <v>0</v>
      </c>
      <c r="S24" s="28">
        <f t="shared" si="3"/>
        <v>0</v>
      </c>
      <c r="T24" s="28">
        <f t="shared" si="4"/>
        <v>0</v>
      </c>
      <c r="U24" s="28">
        <f t="shared" si="5"/>
        <v>0</v>
      </c>
      <c r="V24" s="28">
        <f t="shared" si="6"/>
        <v>0</v>
      </c>
      <c r="W24" s="31">
        <f t="shared" si="9"/>
        <v>90605</v>
      </c>
      <c r="X24" s="32">
        <f t="shared" ref="X24:X39" si="12">W24-L24</f>
        <v>0</v>
      </c>
      <c r="Y24" s="74" t="s">
        <v>169</v>
      </c>
      <c r="Z24" s="680">
        <f>+Z18+Z19</f>
        <v>213760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8"/>
        <v>78605</v>
      </c>
      <c r="M25" s="29"/>
      <c r="N25" s="799"/>
      <c r="O25" s="30">
        <f t="shared" si="11"/>
        <v>7.0773495326000413E-2</v>
      </c>
      <c r="P25" s="802"/>
      <c r="Q25" s="31">
        <f t="shared" si="10"/>
        <v>0</v>
      </c>
      <c r="R25" s="31"/>
      <c r="S25" s="28">
        <f t="shared" si="3"/>
        <v>12000</v>
      </c>
      <c r="T25" s="28">
        <f t="shared" si="4"/>
        <v>0</v>
      </c>
      <c r="U25" s="28">
        <f t="shared" si="5"/>
        <v>0</v>
      </c>
      <c r="V25" s="28">
        <f t="shared" si="6"/>
        <v>12000</v>
      </c>
      <c r="W25" s="31">
        <f t="shared" si="9"/>
        <v>78605</v>
      </c>
      <c r="X25" s="32">
        <f t="shared" si="12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8"/>
        <v>44205</v>
      </c>
      <c r="M26" s="86"/>
      <c r="N26" s="800"/>
      <c r="O26" s="87">
        <f t="shared" si="11"/>
        <v>0.2028840199345345</v>
      </c>
      <c r="P26" s="803"/>
      <c r="Q26" s="144">
        <f t="shared" si="10"/>
        <v>0</v>
      </c>
      <c r="R26" s="144"/>
      <c r="S26" s="423">
        <f t="shared" si="3"/>
        <v>0</v>
      </c>
      <c r="T26" s="423">
        <f t="shared" si="4"/>
        <v>0</v>
      </c>
      <c r="U26" s="423">
        <f t="shared" si="5"/>
        <v>34400</v>
      </c>
      <c r="V26" s="423">
        <f t="shared" si="6"/>
        <v>34400</v>
      </c>
      <c r="W26" s="144">
        <f t="shared" si="9"/>
        <v>44205</v>
      </c>
      <c r="X26" s="32">
        <f t="shared" si="12"/>
        <v>0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8"/>
        <v>44205</v>
      </c>
      <c r="M27" s="95"/>
      <c r="N27" s="804">
        <f>SUM(K27:K49)</f>
        <v>41707</v>
      </c>
      <c r="O27" s="96">
        <f t="shared" si="11"/>
        <v>0</v>
      </c>
      <c r="P27" s="805"/>
      <c r="Q27" s="97">
        <f t="shared" si="10"/>
        <v>0</v>
      </c>
      <c r="R27" s="157"/>
      <c r="S27" s="422">
        <f t="shared" si="3"/>
        <v>0</v>
      </c>
      <c r="T27" s="422">
        <f t="shared" si="4"/>
        <v>0</v>
      </c>
      <c r="U27" s="422">
        <f t="shared" si="5"/>
        <v>0</v>
      </c>
      <c r="V27" s="422">
        <f t="shared" si="6"/>
        <v>0</v>
      </c>
      <c r="W27" s="97">
        <f t="shared" si="9"/>
        <v>44205</v>
      </c>
      <c r="X27" s="32">
        <f t="shared" si="12"/>
        <v>0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8"/>
        <v>44205</v>
      </c>
      <c r="M28" s="29"/>
      <c r="N28" s="799"/>
      <c r="O28" s="30">
        <f t="shared" si="11"/>
        <v>0</v>
      </c>
      <c r="P28" s="802"/>
      <c r="Q28" s="31">
        <f t="shared" si="10"/>
        <v>0</v>
      </c>
      <c r="R28" s="31"/>
      <c r="S28" s="28">
        <f t="shared" si="3"/>
        <v>0</v>
      </c>
      <c r="T28" s="28">
        <f t="shared" si="4"/>
        <v>0</v>
      </c>
      <c r="U28" s="28">
        <f t="shared" si="5"/>
        <v>0</v>
      </c>
      <c r="V28" s="28">
        <f t="shared" si="6"/>
        <v>0</v>
      </c>
      <c r="W28" s="31">
        <f t="shared" si="9"/>
        <v>44205</v>
      </c>
      <c r="X28" s="32">
        <f t="shared" si="12"/>
        <v>0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8"/>
        <v>44205</v>
      </c>
      <c r="M29" s="29"/>
      <c r="N29" s="799"/>
      <c r="O29" s="30">
        <f t="shared" si="11"/>
        <v>0</v>
      </c>
      <c r="P29" s="802"/>
      <c r="Q29" s="31">
        <f t="shared" si="10"/>
        <v>0</v>
      </c>
      <c r="R29" s="31"/>
      <c r="S29" s="28">
        <f t="shared" si="3"/>
        <v>0</v>
      </c>
      <c r="T29" s="28">
        <f t="shared" si="4"/>
        <v>0</v>
      </c>
      <c r="U29" s="28">
        <f t="shared" si="5"/>
        <v>0</v>
      </c>
      <c r="V29" s="28">
        <f t="shared" si="6"/>
        <v>0</v>
      </c>
      <c r="W29" s="31">
        <f t="shared" si="9"/>
        <v>44205</v>
      </c>
      <c r="X29" s="32">
        <f t="shared" si="12"/>
        <v>0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8"/>
        <v>44205</v>
      </c>
      <c r="M30" s="29"/>
      <c r="N30" s="799"/>
      <c r="O30" s="30">
        <f t="shared" ref="O30:O39" si="13">+K30/$N$27</f>
        <v>0</v>
      </c>
      <c r="P30" s="802"/>
      <c r="Q30" s="31">
        <f t="shared" ref="Q30:Q39" si="14">IF($P$30=0,0,(-($P$30*O30)+K30)-K30)</f>
        <v>0</v>
      </c>
      <c r="R30" s="31"/>
      <c r="S30" s="28">
        <f t="shared" si="3"/>
        <v>0</v>
      </c>
      <c r="T30" s="28">
        <f t="shared" si="4"/>
        <v>0</v>
      </c>
      <c r="U30" s="28">
        <f t="shared" si="5"/>
        <v>0</v>
      </c>
      <c r="V30" s="28">
        <f t="shared" si="6"/>
        <v>0</v>
      </c>
      <c r="W30" s="31">
        <f t="shared" si="9"/>
        <v>44205</v>
      </c>
      <c r="X30" s="32">
        <f t="shared" si="12"/>
        <v>0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8"/>
        <v>44205</v>
      </c>
      <c r="M31" s="29"/>
      <c r="N31" s="799"/>
      <c r="O31" s="30">
        <f t="shared" si="13"/>
        <v>0</v>
      </c>
      <c r="P31" s="802"/>
      <c r="Q31" s="31">
        <f t="shared" si="14"/>
        <v>0</v>
      </c>
      <c r="R31" s="31"/>
      <c r="S31" s="28">
        <f t="shared" si="3"/>
        <v>0</v>
      </c>
      <c r="T31" s="28">
        <f t="shared" si="4"/>
        <v>0</v>
      </c>
      <c r="U31" s="28">
        <f t="shared" si="5"/>
        <v>0</v>
      </c>
      <c r="V31" s="28">
        <f t="shared" si="6"/>
        <v>0</v>
      </c>
      <c r="W31" s="31">
        <f t="shared" si="9"/>
        <v>44205</v>
      </c>
      <c r="X31" s="32">
        <f t="shared" si="12"/>
        <v>0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8"/>
        <v>44205</v>
      </c>
      <c r="M32" s="29"/>
      <c r="N32" s="799"/>
      <c r="O32" s="30">
        <f t="shared" si="13"/>
        <v>0</v>
      </c>
      <c r="P32" s="802"/>
      <c r="Q32" s="31">
        <f t="shared" si="14"/>
        <v>0</v>
      </c>
      <c r="R32" s="31"/>
      <c r="S32" s="28">
        <f t="shared" si="3"/>
        <v>0</v>
      </c>
      <c r="T32" s="28">
        <f t="shared" si="4"/>
        <v>0</v>
      </c>
      <c r="U32" s="28">
        <f t="shared" si="5"/>
        <v>0</v>
      </c>
      <c r="V32" s="28">
        <f t="shared" si="6"/>
        <v>0</v>
      </c>
      <c r="W32" s="31">
        <f t="shared" si="9"/>
        <v>44205</v>
      </c>
      <c r="X32" s="32">
        <f t="shared" si="12"/>
        <v>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8"/>
        <v>44205</v>
      </c>
      <c r="M33" s="29"/>
      <c r="N33" s="799"/>
      <c r="O33" s="30">
        <f t="shared" si="13"/>
        <v>0</v>
      </c>
      <c r="P33" s="802"/>
      <c r="Q33" s="31">
        <f t="shared" si="14"/>
        <v>0</v>
      </c>
      <c r="R33" s="31"/>
      <c r="S33" s="28">
        <f t="shared" si="3"/>
        <v>0</v>
      </c>
      <c r="T33" s="28">
        <f t="shared" si="4"/>
        <v>0</v>
      </c>
      <c r="U33" s="28">
        <f t="shared" si="5"/>
        <v>0</v>
      </c>
      <c r="V33" s="28">
        <f t="shared" si="6"/>
        <v>0</v>
      </c>
      <c r="W33" s="31">
        <f t="shared" si="9"/>
        <v>44205</v>
      </c>
      <c r="X33" s="32">
        <f t="shared" si="12"/>
        <v>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8"/>
        <v>44205</v>
      </c>
      <c r="M34" s="29"/>
      <c r="N34" s="799"/>
      <c r="O34" s="30">
        <f t="shared" si="13"/>
        <v>0</v>
      </c>
      <c r="P34" s="802"/>
      <c r="Q34" s="31">
        <f t="shared" si="14"/>
        <v>0</v>
      </c>
      <c r="R34" s="31"/>
      <c r="S34" s="28">
        <f t="shared" si="3"/>
        <v>0</v>
      </c>
      <c r="T34" s="28">
        <f t="shared" si="4"/>
        <v>0</v>
      </c>
      <c r="U34" s="28">
        <f t="shared" si="5"/>
        <v>0</v>
      </c>
      <c r="V34" s="28">
        <f t="shared" si="6"/>
        <v>0</v>
      </c>
      <c r="W34" s="31">
        <f t="shared" si="9"/>
        <v>44205</v>
      </c>
      <c r="X34" s="32">
        <f t="shared" si="12"/>
        <v>0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8"/>
        <v>44205</v>
      </c>
      <c r="M35" s="29"/>
      <c r="N35" s="799"/>
      <c r="O35" s="30">
        <f t="shared" si="13"/>
        <v>0</v>
      </c>
      <c r="P35" s="802"/>
      <c r="Q35" s="31">
        <f t="shared" si="14"/>
        <v>0</v>
      </c>
      <c r="R35" s="31"/>
      <c r="S35" s="28">
        <f t="shared" si="3"/>
        <v>0</v>
      </c>
      <c r="T35" s="28">
        <f t="shared" si="4"/>
        <v>0</v>
      </c>
      <c r="U35" s="28">
        <f t="shared" si="5"/>
        <v>0</v>
      </c>
      <c r="V35" s="28">
        <f t="shared" si="6"/>
        <v>0</v>
      </c>
      <c r="W35" s="31">
        <f t="shared" si="9"/>
        <v>44205</v>
      </c>
      <c r="X35" s="32">
        <f t="shared" si="12"/>
        <v>0</v>
      </c>
      <c r="Y35" s="117" t="s">
        <v>56</v>
      </c>
      <c r="Z35" s="113">
        <f>Z34*43%</f>
        <v>34400</v>
      </c>
      <c r="AA35" s="113">
        <f>AD4-Z35</f>
        <v>0</v>
      </c>
      <c r="AB35" s="113">
        <f>Z35+AA35</f>
        <v>34400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8"/>
        <v>44205</v>
      </c>
      <c r="M36" s="29"/>
      <c r="N36" s="799"/>
      <c r="O36" s="30">
        <f t="shared" si="13"/>
        <v>0</v>
      </c>
      <c r="P36" s="802"/>
      <c r="Q36" s="31">
        <f t="shared" si="14"/>
        <v>0</v>
      </c>
      <c r="R36" s="31"/>
      <c r="S36" s="28">
        <f t="shared" si="3"/>
        <v>0</v>
      </c>
      <c r="T36" s="28">
        <f t="shared" si="4"/>
        <v>0</v>
      </c>
      <c r="U36" s="28">
        <f t="shared" si="5"/>
        <v>0</v>
      </c>
      <c r="V36" s="28">
        <f t="shared" si="6"/>
        <v>0</v>
      </c>
      <c r="W36" s="31">
        <f t="shared" si="9"/>
        <v>44205</v>
      </c>
      <c r="X36" s="32">
        <f t="shared" si="12"/>
        <v>0</v>
      </c>
      <c r="Y36" s="117" t="s">
        <v>60</v>
      </c>
      <c r="Z36" s="113">
        <f>Z34*57%</f>
        <v>45599.999999999993</v>
      </c>
      <c r="AA36" s="113">
        <f>AD3-Z36</f>
        <v>0</v>
      </c>
      <c r="AB36" s="113">
        <f>Z36+AA36</f>
        <v>45599.999999999993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8"/>
        <v>44205</v>
      </c>
      <c r="M37" s="29"/>
      <c r="N37" s="799"/>
      <c r="O37" s="30">
        <f t="shared" si="13"/>
        <v>0</v>
      </c>
      <c r="P37" s="802"/>
      <c r="Q37" s="31">
        <f t="shared" si="14"/>
        <v>0</v>
      </c>
      <c r="R37" s="31"/>
      <c r="S37" s="28">
        <f t="shared" si="3"/>
        <v>0</v>
      </c>
      <c r="T37" s="28">
        <f t="shared" si="4"/>
        <v>0</v>
      </c>
      <c r="U37" s="28">
        <f t="shared" si="5"/>
        <v>0</v>
      </c>
      <c r="V37" s="28">
        <f t="shared" si="6"/>
        <v>0</v>
      </c>
      <c r="W37" s="31">
        <f t="shared" si="9"/>
        <v>44205</v>
      </c>
      <c r="X37" s="32">
        <f t="shared" si="12"/>
        <v>0</v>
      </c>
      <c r="Y37" s="117" t="s">
        <v>94</v>
      </c>
      <c r="Z37" s="113">
        <f>+Z35+Z36</f>
        <v>80000</v>
      </c>
      <c r="AA37" s="113">
        <f>SUM(AA35:AA36)</f>
        <v>0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518"/>
      <c r="J38" s="26"/>
      <c r="K38" s="27">
        <f t="shared" si="0"/>
        <v>11207</v>
      </c>
      <c r="L38" s="28">
        <f t="shared" si="8"/>
        <v>32998</v>
      </c>
      <c r="M38" s="29"/>
      <c r="N38" s="799"/>
      <c r="O38" s="30">
        <f t="shared" si="13"/>
        <v>0.26870789076174262</v>
      </c>
      <c r="P38" s="802"/>
      <c r="Q38" s="31">
        <f t="shared" si="14"/>
        <v>0</v>
      </c>
      <c r="R38" s="31"/>
      <c r="S38" s="28">
        <f t="shared" si="3"/>
        <v>11207</v>
      </c>
      <c r="T38" s="28">
        <f t="shared" si="4"/>
        <v>0</v>
      </c>
      <c r="U38" s="28">
        <f t="shared" si="5"/>
        <v>0</v>
      </c>
      <c r="V38" s="28">
        <f t="shared" si="6"/>
        <v>11207</v>
      </c>
      <c r="W38" s="31">
        <f t="shared" si="9"/>
        <v>32998</v>
      </c>
      <c r="X38" s="32">
        <f t="shared" si="12"/>
        <v>0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 t="shared" si="8"/>
        <v>32998</v>
      </c>
      <c r="M39" s="29"/>
      <c r="N39" s="799"/>
      <c r="O39" s="30">
        <f t="shared" si="13"/>
        <v>0</v>
      </c>
      <c r="P39" s="802"/>
      <c r="Q39" s="31">
        <f t="shared" si="14"/>
        <v>0</v>
      </c>
      <c r="R39" s="31"/>
      <c r="S39" s="28">
        <f t="shared" si="3"/>
        <v>0</v>
      </c>
      <c r="T39" s="28">
        <f t="shared" si="4"/>
        <v>0</v>
      </c>
      <c r="U39" s="28">
        <f t="shared" si="5"/>
        <v>0</v>
      </c>
      <c r="V39" s="28">
        <f t="shared" si="6"/>
        <v>0</v>
      </c>
      <c r="W39" s="31">
        <f t="shared" si="9"/>
        <v>32998</v>
      </c>
      <c r="X39" s="32">
        <f t="shared" si="12"/>
        <v>0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8"/>
        <v>32998</v>
      </c>
      <c r="M40" s="29"/>
      <c r="N40" s="799"/>
      <c r="O40" s="30"/>
      <c r="P40" s="802"/>
      <c r="Q40" s="31"/>
      <c r="R40" s="31"/>
      <c r="S40" s="28">
        <f t="shared" si="3"/>
        <v>0</v>
      </c>
      <c r="T40" s="28">
        <f t="shared" si="4"/>
        <v>0</v>
      </c>
      <c r="U40" s="28">
        <f t="shared" si="5"/>
        <v>0</v>
      </c>
      <c r="V40" s="28">
        <f t="shared" si="6"/>
        <v>0</v>
      </c>
      <c r="W40" s="31">
        <f t="shared" si="9"/>
        <v>32998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75</v>
      </c>
      <c r="G41" s="101" t="s">
        <v>76</v>
      </c>
      <c r="H41" s="518">
        <v>5500</v>
      </c>
      <c r="I41" s="26"/>
      <c r="J41" s="26"/>
      <c r="K41" s="27">
        <f t="shared" si="0"/>
        <v>5500</v>
      </c>
      <c r="L41" s="28">
        <f t="shared" si="8"/>
        <v>27498</v>
      </c>
      <c r="M41" s="29"/>
      <c r="N41" s="799"/>
      <c r="O41" s="30">
        <f t="shared" ref="O41:O47" si="15">+K41/$N$27</f>
        <v>0.13187234756755462</v>
      </c>
      <c r="P41" s="802"/>
      <c r="Q41" s="31">
        <f t="shared" ref="Q41:Q57" si="16">IF($P$30=0,0,(-($P$30*O41)+K41)-K41)</f>
        <v>0</v>
      </c>
      <c r="R41" s="31"/>
      <c r="S41" s="28">
        <f t="shared" si="3"/>
        <v>5500</v>
      </c>
      <c r="T41" s="28">
        <f t="shared" si="4"/>
        <v>0</v>
      </c>
      <c r="U41" s="28">
        <f t="shared" si="5"/>
        <v>0</v>
      </c>
      <c r="V41" s="28">
        <f t="shared" si="6"/>
        <v>5500</v>
      </c>
      <c r="W41" s="31">
        <f t="shared" si="9"/>
        <v>27498</v>
      </c>
      <c r="X41" s="32">
        <f t="shared" ref="X41:X47" si="17">W41-L41</f>
        <v>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15000</v>
      </c>
      <c r="I42" s="26"/>
      <c r="J42" s="26"/>
      <c r="K42" s="27">
        <f t="shared" si="0"/>
        <v>15000</v>
      </c>
      <c r="L42" s="28">
        <f t="shared" si="8"/>
        <v>12498</v>
      </c>
      <c r="M42" s="29"/>
      <c r="N42" s="799"/>
      <c r="O42" s="30">
        <f t="shared" si="15"/>
        <v>0.35965185700242164</v>
      </c>
      <c r="P42" s="802"/>
      <c r="Q42" s="31">
        <f t="shared" si="16"/>
        <v>0</v>
      </c>
      <c r="R42" s="31"/>
      <c r="S42" s="28">
        <f t="shared" si="3"/>
        <v>15000</v>
      </c>
      <c r="T42" s="28">
        <f t="shared" si="4"/>
        <v>0</v>
      </c>
      <c r="U42" s="28">
        <f t="shared" si="5"/>
        <v>0</v>
      </c>
      <c r="V42" s="28">
        <f t="shared" si="6"/>
        <v>15000</v>
      </c>
      <c r="W42" s="31">
        <f t="shared" si="9"/>
        <v>12498</v>
      </c>
      <c r="X42" s="32">
        <f t="shared" si="17"/>
        <v>0</v>
      </c>
      <c r="Y42" s="74" t="s">
        <v>96</v>
      </c>
      <c r="Z42" s="75">
        <v>35500</v>
      </c>
      <c r="AA42" s="129">
        <f>+H7+H8+H17+H18+H19+H22+H32+H33+H43+H44+H45+H53</f>
        <v>28617</v>
      </c>
      <c r="AB42" s="129">
        <f>+I7+I8+I17+I18+I19+I22+I32+I33+I43+I44+I45+I53</f>
        <v>7383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8"/>
        <v>12498</v>
      </c>
      <c r="M43" s="29"/>
      <c r="N43" s="799"/>
      <c r="O43" s="30">
        <f t="shared" si="15"/>
        <v>0</v>
      </c>
      <c r="P43" s="802"/>
      <c r="Q43" s="31">
        <f t="shared" si="16"/>
        <v>0</v>
      </c>
      <c r="R43" s="31"/>
      <c r="S43" s="28">
        <f t="shared" si="3"/>
        <v>0</v>
      </c>
      <c r="T43" s="28">
        <f t="shared" si="4"/>
        <v>0</v>
      </c>
      <c r="U43" s="28">
        <f t="shared" si="5"/>
        <v>0</v>
      </c>
      <c r="V43" s="28">
        <f t="shared" si="6"/>
        <v>0</v>
      </c>
      <c r="W43" s="31">
        <f t="shared" si="9"/>
        <v>12498</v>
      </c>
      <c r="X43" s="32">
        <f t="shared" si="17"/>
        <v>0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8"/>
        <v>12498</v>
      </c>
      <c r="M44" s="29"/>
      <c r="N44" s="799"/>
      <c r="O44" s="30">
        <f t="shared" si="15"/>
        <v>0</v>
      </c>
      <c r="P44" s="802"/>
      <c r="Q44" s="31">
        <f t="shared" si="16"/>
        <v>0</v>
      </c>
      <c r="R44" s="31"/>
      <c r="S44" s="28">
        <f t="shared" si="3"/>
        <v>0</v>
      </c>
      <c r="T44" s="28">
        <f t="shared" si="4"/>
        <v>0</v>
      </c>
      <c r="U44" s="28">
        <f t="shared" si="5"/>
        <v>0</v>
      </c>
      <c r="V44" s="28">
        <f t="shared" si="6"/>
        <v>0</v>
      </c>
      <c r="W44" s="31">
        <f t="shared" si="9"/>
        <v>12498</v>
      </c>
      <c r="X44" s="32">
        <f t="shared" si="17"/>
        <v>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8"/>
        <v>12498</v>
      </c>
      <c r="M45" s="29"/>
      <c r="N45" s="799"/>
      <c r="O45" s="30">
        <f t="shared" si="15"/>
        <v>0</v>
      </c>
      <c r="P45" s="802"/>
      <c r="Q45" s="31">
        <f t="shared" si="16"/>
        <v>0</v>
      </c>
      <c r="R45" s="31"/>
      <c r="S45" s="28">
        <f t="shared" si="3"/>
        <v>0</v>
      </c>
      <c r="T45" s="28">
        <f t="shared" si="4"/>
        <v>0</v>
      </c>
      <c r="U45" s="28">
        <f t="shared" si="5"/>
        <v>0</v>
      </c>
      <c r="V45" s="28">
        <f t="shared" si="6"/>
        <v>0</v>
      </c>
      <c r="W45" s="31">
        <f t="shared" si="9"/>
        <v>12498</v>
      </c>
      <c r="X45" s="32">
        <f t="shared" si="17"/>
        <v>0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 t="shared" si="8"/>
        <v>2498</v>
      </c>
      <c r="M46" s="29"/>
      <c r="N46" s="799"/>
      <c r="O46" s="30">
        <f t="shared" si="15"/>
        <v>0.2397679046682811</v>
      </c>
      <c r="P46" s="802"/>
      <c r="Q46" s="31">
        <f t="shared" si="16"/>
        <v>0</v>
      </c>
      <c r="R46" s="31">
        <v>0</v>
      </c>
      <c r="S46" s="28">
        <f t="shared" si="3"/>
        <v>10000</v>
      </c>
      <c r="T46" s="28">
        <f t="shared" si="4"/>
        <v>0</v>
      </c>
      <c r="U46" s="28">
        <f t="shared" si="5"/>
        <v>0</v>
      </c>
      <c r="V46" s="28">
        <f t="shared" si="6"/>
        <v>10000</v>
      </c>
      <c r="W46" s="31">
        <f t="shared" si="9"/>
        <v>2498</v>
      </c>
      <c r="X46" s="32">
        <f t="shared" si="17"/>
        <v>0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8"/>
        <v>2498</v>
      </c>
      <c r="M47" s="29"/>
      <c r="N47" s="799"/>
      <c r="O47" s="30">
        <f t="shared" si="15"/>
        <v>0</v>
      </c>
      <c r="P47" s="802"/>
      <c r="Q47" s="31">
        <f t="shared" si="16"/>
        <v>0</v>
      </c>
      <c r="R47" s="31"/>
      <c r="S47" s="28">
        <f t="shared" si="3"/>
        <v>0</v>
      </c>
      <c r="T47" s="28">
        <f t="shared" si="4"/>
        <v>0</v>
      </c>
      <c r="U47" s="28">
        <f t="shared" si="5"/>
        <v>0</v>
      </c>
      <c r="V47" s="28">
        <f t="shared" si="6"/>
        <v>0</v>
      </c>
      <c r="W47" s="31">
        <f t="shared" si="9"/>
        <v>2498</v>
      </c>
      <c r="X47" s="32">
        <f t="shared" si="17"/>
        <v>0</v>
      </c>
      <c r="Y47" s="57">
        <v>20000</v>
      </c>
      <c r="Z47" s="89">
        <v>4586</v>
      </c>
      <c r="AA47" s="35"/>
      <c r="AB47" s="57">
        <f>57000-AA60</f>
        <v>11400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8"/>
        <v>2498</v>
      </c>
      <c r="M48" s="136"/>
      <c r="N48" s="799"/>
      <c r="O48" s="137"/>
      <c r="P48" s="802"/>
      <c r="Q48" s="31">
        <f t="shared" si="16"/>
        <v>0</v>
      </c>
      <c r="R48" s="138"/>
      <c r="S48" s="28">
        <f t="shared" si="3"/>
        <v>0</v>
      </c>
      <c r="T48" s="28">
        <f t="shared" si="4"/>
        <v>0</v>
      </c>
      <c r="U48" s="28">
        <f t="shared" si="5"/>
        <v>0</v>
      </c>
      <c r="V48" s="28">
        <f t="shared" si="6"/>
        <v>0</v>
      </c>
      <c r="W48" s="31">
        <f t="shared" si="9"/>
        <v>2498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8"/>
        <v>2498</v>
      </c>
      <c r="M49" s="86"/>
      <c r="N49" s="800"/>
      <c r="O49" s="87">
        <f>+K49/$N$27</f>
        <v>0</v>
      </c>
      <c r="P49" s="803"/>
      <c r="Q49" s="144">
        <f t="shared" si="16"/>
        <v>0</v>
      </c>
      <c r="R49" s="144"/>
      <c r="S49" s="423">
        <f t="shared" si="3"/>
        <v>0</v>
      </c>
      <c r="T49" s="423">
        <f t="shared" si="4"/>
        <v>0</v>
      </c>
      <c r="U49" s="423">
        <f t="shared" si="5"/>
        <v>0</v>
      </c>
      <c r="V49" s="423">
        <f t="shared" si="6"/>
        <v>0</v>
      </c>
      <c r="W49" s="144">
        <f t="shared" si="9"/>
        <v>2498</v>
      </c>
      <c r="X49" s="32">
        <f>W49-L49</f>
        <v>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 t="shared" si="8"/>
        <v>2498</v>
      </c>
      <c r="M50" s="95"/>
      <c r="N50" s="804">
        <f>SUM(K50:K55)</f>
        <v>2000</v>
      </c>
      <c r="O50" s="96">
        <f>+K50/$N$27</f>
        <v>0</v>
      </c>
      <c r="P50" s="805"/>
      <c r="Q50" s="138">
        <f t="shared" si="16"/>
        <v>0</v>
      </c>
      <c r="R50" s="157">
        <f>K50*$P$50/SUM($K$50:$K$55)-K50</f>
        <v>0</v>
      </c>
      <c r="S50" s="422">
        <f t="shared" si="3"/>
        <v>0</v>
      </c>
      <c r="T50" s="422">
        <f t="shared" si="4"/>
        <v>0</v>
      </c>
      <c r="U50" s="422">
        <f t="shared" si="5"/>
        <v>0</v>
      </c>
      <c r="V50" s="422">
        <f t="shared" si="6"/>
        <v>0</v>
      </c>
      <c r="W50" s="97">
        <f t="shared" si="9"/>
        <v>2498</v>
      </c>
      <c r="X50" s="32">
        <f>W50-L50</f>
        <v>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0"/>
        <v>0</v>
      </c>
      <c r="L51" s="28">
        <f t="shared" si="8"/>
        <v>2498</v>
      </c>
      <c r="M51" s="234"/>
      <c r="N51" s="799"/>
      <c r="O51" s="184"/>
      <c r="P51" s="802"/>
      <c r="Q51" s="138">
        <f t="shared" si="16"/>
        <v>0</v>
      </c>
      <c r="R51" s="31"/>
      <c r="S51" s="422">
        <f t="shared" si="3"/>
        <v>0</v>
      </c>
      <c r="T51" s="28">
        <f t="shared" si="4"/>
        <v>0</v>
      </c>
      <c r="U51" s="28">
        <f t="shared" si="5"/>
        <v>0</v>
      </c>
      <c r="V51" s="28">
        <f t="shared" si="6"/>
        <v>0</v>
      </c>
      <c r="W51" s="31">
        <f t="shared" si="9"/>
        <v>2498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8"/>
        <v>2498</v>
      </c>
      <c r="M52" s="234"/>
      <c r="N52" s="799"/>
      <c r="O52" s="184"/>
      <c r="P52" s="802"/>
      <c r="Q52" s="31">
        <f t="shared" si="16"/>
        <v>0</v>
      </c>
      <c r="R52" s="97">
        <f>K52*$P$50/SUM($K$50:$K$55)-K52</f>
        <v>0</v>
      </c>
      <c r="S52" s="28">
        <f t="shared" si="3"/>
        <v>0</v>
      </c>
      <c r="T52" s="28">
        <f t="shared" si="4"/>
        <v>0</v>
      </c>
      <c r="U52" s="28">
        <f t="shared" si="5"/>
        <v>0</v>
      </c>
      <c r="V52" s="28">
        <f t="shared" si="6"/>
        <v>0</v>
      </c>
      <c r="W52" s="31">
        <f t="shared" si="9"/>
        <v>2498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518"/>
      <c r="J53" s="26"/>
      <c r="K53" s="27">
        <f t="shared" si="0"/>
        <v>2000</v>
      </c>
      <c r="L53" s="28">
        <f t="shared" si="8"/>
        <v>498</v>
      </c>
      <c r="M53" s="29"/>
      <c r="N53" s="799"/>
      <c r="O53" s="30">
        <f>+K53/$N$27</f>
        <v>4.7953580933656217E-2</v>
      </c>
      <c r="P53" s="802"/>
      <c r="Q53" s="97">
        <f t="shared" si="16"/>
        <v>0</v>
      </c>
      <c r="R53" s="31"/>
      <c r="S53" s="28">
        <f t="shared" si="3"/>
        <v>2000</v>
      </c>
      <c r="T53" s="28">
        <f t="shared" si="4"/>
        <v>0</v>
      </c>
      <c r="U53" s="28">
        <f t="shared" si="5"/>
        <v>0</v>
      </c>
      <c r="V53" s="28">
        <f t="shared" si="6"/>
        <v>2000</v>
      </c>
      <c r="W53" s="31">
        <f t="shared" si="9"/>
        <v>498</v>
      </c>
      <c r="X53" s="32">
        <f>W53-L53</f>
        <v>0</v>
      </c>
      <c r="Y53" s="80">
        <f>+Y52-15000</f>
        <v>-2513.5</v>
      </c>
      <c r="Z53" s="49">
        <f>+Z60-43000</f>
        <v>-8600</v>
      </c>
      <c r="AD53" s="322"/>
      <c r="AE53" s="153"/>
      <c r="AH53" s="18"/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8"/>
        <v>498</v>
      </c>
      <c r="M54" s="29"/>
      <c r="N54" s="799"/>
      <c r="O54" s="30">
        <f>+K54/$N$27</f>
        <v>0</v>
      </c>
      <c r="P54" s="802"/>
      <c r="Q54" s="97">
        <f t="shared" si="16"/>
        <v>0</v>
      </c>
      <c r="R54" s="31">
        <f>K54*$P$50/SUM($K$50:$K$55)-K54</f>
        <v>0</v>
      </c>
      <c r="S54" s="28">
        <f t="shared" si="3"/>
        <v>0</v>
      </c>
      <c r="T54" s="28">
        <f t="shared" si="4"/>
        <v>0</v>
      </c>
      <c r="U54" s="28">
        <f t="shared" si="5"/>
        <v>0</v>
      </c>
      <c r="V54" s="28">
        <f t="shared" si="6"/>
        <v>0</v>
      </c>
      <c r="W54" s="31">
        <f t="shared" si="9"/>
        <v>498</v>
      </c>
      <c r="X54" s="32">
        <f>W54-L54</f>
        <v>0</v>
      </c>
      <c r="Y54" s="158"/>
      <c r="Z54" s="159"/>
      <c r="AA54" s="160"/>
      <c r="AB54" s="158"/>
      <c r="AC54" s="160"/>
      <c r="AD54" s="161"/>
      <c r="AE54" s="153"/>
      <c r="AH54" s="18"/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8"/>
        <v>498</v>
      </c>
      <c r="M55" s="86"/>
      <c r="N55" s="800"/>
      <c r="O55" s="87">
        <f>+K55/$N$27</f>
        <v>0</v>
      </c>
      <c r="P55" s="803"/>
      <c r="Q55" s="97">
        <f t="shared" si="16"/>
        <v>0</v>
      </c>
      <c r="R55" s="31"/>
      <c r="S55" s="423">
        <f t="shared" si="3"/>
        <v>0</v>
      </c>
      <c r="T55" s="28">
        <f t="shared" si="4"/>
        <v>0</v>
      </c>
      <c r="U55" s="423">
        <f t="shared" si="5"/>
        <v>0</v>
      </c>
      <c r="V55" s="423">
        <f t="shared" si="6"/>
        <v>0</v>
      </c>
      <c r="W55" s="144">
        <f t="shared" si="9"/>
        <v>498</v>
      </c>
      <c r="X55" s="119">
        <f>W55-L55</f>
        <v>0</v>
      </c>
      <c r="Y55" s="807">
        <f ca="1">Z8</f>
        <v>41938</v>
      </c>
      <c r="Z55" s="808"/>
      <c r="AA55" s="808"/>
      <c r="AB55" s="808"/>
      <c r="AC55" s="808"/>
      <c r="AD55" s="809"/>
      <c r="AE55" s="20" t="s">
        <v>319</v>
      </c>
      <c r="AL55" s="507"/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8"/>
        <v>498</v>
      </c>
      <c r="M56" s="804"/>
      <c r="N56" s="804">
        <f>SUM(K56:K80)</f>
        <v>0</v>
      </c>
      <c r="O56" s="96">
        <f>+K56/$N$27</f>
        <v>0</v>
      </c>
      <c r="P56" s="172"/>
      <c r="Q56" s="157">
        <f t="shared" si="16"/>
        <v>0</v>
      </c>
      <c r="R56" s="157">
        <v>0</v>
      </c>
      <c r="S56" s="422">
        <f t="shared" si="3"/>
        <v>0</v>
      </c>
      <c r="T56" s="157">
        <f t="shared" si="4"/>
        <v>0</v>
      </c>
      <c r="U56" s="422">
        <f t="shared" si="5"/>
        <v>0</v>
      </c>
      <c r="V56" s="422">
        <f t="shared" si="6"/>
        <v>0</v>
      </c>
      <c r="W56" s="97">
        <f t="shared" si="9"/>
        <v>498</v>
      </c>
      <c r="X56" s="119">
        <f>W56-L56</f>
        <v>0</v>
      </c>
      <c r="Y56" s="811" t="s">
        <v>186</v>
      </c>
      <c r="Z56" s="812"/>
      <c r="AA56" s="812"/>
      <c r="AB56" s="812"/>
      <c r="AC56" s="812"/>
      <c r="AD56" s="813"/>
      <c r="AE56" s="13">
        <v>18700</v>
      </c>
      <c r="AF56" s="17">
        <f>AG3</f>
        <v>29262</v>
      </c>
      <c r="AG56" s="20">
        <f>AF56/24*(24-9)</f>
        <v>18288.75</v>
      </c>
      <c r="AH56" s="53">
        <f>AG56+AC3</f>
        <v>164662.75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8"/>
        <v>498</v>
      </c>
      <c r="M57" s="800"/>
      <c r="N57" s="800"/>
      <c r="O57" s="87" t="e">
        <f t="shared" ref="O57:O80" si="18">+K57/$N$56</f>
        <v>#DIV/0!</v>
      </c>
      <c r="P57" s="328"/>
      <c r="Q57" s="448">
        <f t="shared" si="16"/>
        <v>0</v>
      </c>
      <c r="R57" s="144">
        <v>0</v>
      </c>
      <c r="S57" s="423">
        <f t="shared" si="3"/>
        <v>0</v>
      </c>
      <c r="T57" s="423">
        <f t="shared" si="4"/>
        <v>0</v>
      </c>
      <c r="U57" s="423">
        <f t="shared" si="5"/>
        <v>0</v>
      </c>
      <c r="V57" s="423">
        <f t="shared" si="6"/>
        <v>0</v>
      </c>
      <c r="W57" s="144">
        <f t="shared" si="9"/>
        <v>498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747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8"/>
        <v>498</v>
      </c>
      <c r="M58" s="148"/>
      <c r="N58" s="148"/>
      <c r="O58" s="184" t="e">
        <f t="shared" si="18"/>
        <v>#DIV/0!</v>
      </c>
      <c r="P58" s="171"/>
      <c r="Q58" s="97">
        <f t="shared" ref="Q58:Q81" si="19">IF($P$57=0,0,(-($P$57*O58)+K58)-K58)</f>
        <v>0</v>
      </c>
      <c r="R58" s="97"/>
      <c r="S58" s="422">
        <f t="shared" si="3"/>
        <v>0</v>
      </c>
      <c r="T58" s="422">
        <f t="shared" si="4"/>
        <v>0</v>
      </c>
      <c r="U58" s="422">
        <f t="shared" si="5"/>
        <v>0</v>
      </c>
      <c r="V58" s="422">
        <f t="shared" si="6"/>
        <v>0</v>
      </c>
      <c r="W58" s="97">
        <f t="shared" si="9"/>
        <v>498</v>
      </c>
      <c r="X58" s="408"/>
      <c r="Y58" s="180" t="s">
        <v>7</v>
      </c>
      <c r="Z58" s="181">
        <f>+AB4</f>
        <v>27715</v>
      </c>
      <c r="AA58" s="182">
        <f>+AB3</f>
        <v>62121</v>
      </c>
      <c r="AB58" s="182">
        <f>Z12</f>
        <v>0</v>
      </c>
      <c r="AC58" s="181">
        <f>AB10</f>
        <v>0</v>
      </c>
      <c r="AD58" s="661">
        <f>SUM(Z58:AC58)</f>
        <v>89836</v>
      </c>
      <c r="AE58" s="185">
        <v>102166</v>
      </c>
      <c r="AF58" s="17">
        <f>AE58-AD58</f>
        <v>12330</v>
      </c>
      <c r="AG58" s="17">
        <f>AA58-'Octubre 24'!AA58</f>
        <v>-17420</v>
      </c>
      <c r="AH58" s="53">
        <f>AD58-'Octubre 24'!AD58</f>
        <v>-17420</v>
      </c>
      <c r="AI58" s="50"/>
      <c r="AJ58" s="50"/>
      <c r="AK58" s="722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8"/>
        <v>498</v>
      </c>
      <c r="M59" s="148"/>
      <c r="N59" s="148"/>
      <c r="O59" s="30" t="e">
        <f t="shared" si="18"/>
        <v>#DIV/0!</v>
      </c>
      <c r="P59" s="171"/>
      <c r="Q59" s="31">
        <f t="shared" si="19"/>
        <v>0</v>
      </c>
      <c r="R59" s="31"/>
      <c r="S59" s="28">
        <f t="shared" si="3"/>
        <v>0</v>
      </c>
      <c r="T59" s="28">
        <f t="shared" si="4"/>
        <v>0</v>
      </c>
      <c r="U59" s="28">
        <f t="shared" si="5"/>
        <v>0</v>
      </c>
      <c r="V59" s="28">
        <f t="shared" si="6"/>
        <v>0</v>
      </c>
      <c r="W59" s="31">
        <f t="shared" si="9"/>
        <v>498</v>
      </c>
      <c r="X59" s="408"/>
      <c r="Y59" s="180" t="s">
        <v>17</v>
      </c>
      <c r="Z59" s="182">
        <f>+AC4</f>
        <v>151147</v>
      </c>
      <c r="AA59" s="182">
        <f>AC3</f>
        <v>146374</v>
      </c>
      <c r="AB59" s="182">
        <f>Z11</f>
        <v>0</v>
      </c>
      <c r="AC59" s="181">
        <v>0</v>
      </c>
      <c r="AD59" s="661">
        <f>SUM(Z59:AC59)</f>
        <v>297521</v>
      </c>
      <c r="AE59" s="185">
        <v>246817</v>
      </c>
      <c r="AF59" s="17">
        <f>AE59-AD59</f>
        <v>-50704</v>
      </c>
      <c r="AG59" s="51"/>
      <c r="AH59" s="19"/>
      <c r="AI59" s="50"/>
      <c r="AJ59" s="50"/>
      <c r="AK59" s="722"/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8"/>
        <v>498</v>
      </c>
      <c r="M60" s="148"/>
      <c r="N60" s="148"/>
      <c r="O60" s="30" t="e">
        <f t="shared" si="18"/>
        <v>#DIV/0!</v>
      </c>
      <c r="P60" s="171"/>
      <c r="Q60" s="31">
        <f t="shared" si="19"/>
        <v>0</v>
      </c>
      <c r="R60" s="31"/>
      <c r="S60" s="28">
        <f t="shared" si="3"/>
        <v>0</v>
      </c>
      <c r="T60" s="28">
        <f t="shared" si="4"/>
        <v>0</v>
      </c>
      <c r="U60" s="28">
        <f t="shared" si="5"/>
        <v>0</v>
      </c>
      <c r="V60" s="28">
        <f t="shared" si="6"/>
        <v>0</v>
      </c>
      <c r="W60" s="31">
        <f t="shared" si="9"/>
        <v>498</v>
      </c>
      <c r="X60" s="408"/>
      <c r="Y60" s="180" t="s">
        <v>112</v>
      </c>
      <c r="Z60" s="181">
        <f>+AD4+AH11</f>
        <v>34400</v>
      </c>
      <c r="AA60" s="182">
        <f>+AD3+AH10</f>
        <v>45600</v>
      </c>
      <c r="AB60" s="191">
        <v>0</v>
      </c>
      <c r="AC60" s="181">
        <v>0</v>
      </c>
      <c r="AD60" s="662">
        <f>SUM(Z60:AC60)</f>
        <v>80000</v>
      </c>
      <c r="AE60" s="185">
        <v>100343</v>
      </c>
      <c r="AF60" s="17">
        <f>AE60-AD60</f>
        <v>20343</v>
      </c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8"/>
        <v>498</v>
      </c>
      <c r="M61" s="148"/>
      <c r="N61" s="148"/>
      <c r="O61" s="30" t="e">
        <f t="shared" si="18"/>
        <v>#DIV/0!</v>
      </c>
      <c r="P61" s="171"/>
      <c r="Q61" s="31">
        <f t="shared" si="19"/>
        <v>0</v>
      </c>
      <c r="R61" s="31"/>
      <c r="S61" s="28">
        <f t="shared" si="3"/>
        <v>0</v>
      </c>
      <c r="T61" s="28">
        <f t="shared" si="4"/>
        <v>0</v>
      </c>
      <c r="U61" s="28">
        <f t="shared" si="5"/>
        <v>0</v>
      </c>
      <c r="V61" s="28">
        <f t="shared" si="6"/>
        <v>0</v>
      </c>
      <c r="W61" s="31">
        <f t="shared" si="9"/>
        <v>498</v>
      </c>
      <c r="X61" s="408"/>
      <c r="Y61" s="193" t="s">
        <v>113</v>
      </c>
      <c r="Z61" s="194">
        <f>SUM(Z58:Z60)</f>
        <v>213262</v>
      </c>
      <c r="AA61" s="194">
        <f>SUM(AA58:AA60)</f>
        <v>254095</v>
      </c>
      <c r="AB61" s="194">
        <f>SUM(AB58:AB60)</f>
        <v>0</v>
      </c>
      <c r="AC61" s="194">
        <f>AB10</f>
        <v>0</v>
      </c>
      <c r="AD61" s="195">
        <f>SUM(AD58:AD60)</f>
        <v>467357</v>
      </c>
      <c r="AE61" s="185">
        <f>AD61-AA68</f>
        <v>-29760.203827652324</v>
      </c>
      <c r="AF61" s="17">
        <f>SUM(AF58:AF60)</f>
        <v>-18031</v>
      </c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8"/>
        <v>498</v>
      </c>
      <c r="M62" s="148"/>
      <c r="N62" s="148"/>
      <c r="O62" s="30" t="e">
        <f t="shared" si="18"/>
        <v>#DIV/0!</v>
      </c>
      <c r="P62" s="171"/>
      <c r="Q62" s="31">
        <f t="shared" si="19"/>
        <v>0</v>
      </c>
      <c r="R62" s="31"/>
      <c r="S62" s="28">
        <f t="shared" si="3"/>
        <v>0</v>
      </c>
      <c r="T62" s="28">
        <f t="shared" si="4"/>
        <v>0</v>
      </c>
      <c r="U62" s="28">
        <f t="shared" si="5"/>
        <v>0</v>
      </c>
      <c r="V62" s="28">
        <f t="shared" si="6"/>
        <v>0</v>
      </c>
      <c r="W62" s="31">
        <f t="shared" si="9"/>
        <v>498</v>
      </c>
      <c r="X62" s="408"/>
      <c r="Y62" s="199" t="s">
        <v>114</v>
      </c>
      <c r="Z62" s="200">
        <f>(Z58/$Z$28+(Z59/$Z$27)+(Z60/$Z$29))</f>
        <v>213858.69851261511</v>
      </c>
      <c r="AA62" s="200">
        <f>(AA58/$Z$28+(AA59/$Z$27)+(AA60/$Z$29))</f>
        <v>254800.43765282712</v>
      </c>
      <c r="AB62" s="200">
        <f>(AB58/$Z$28)+(AB59/$Z$27)</f>
        <v>0</v>
      </c>
      <c r="AC62" s="200">
        <f>AB9</f>
        <v>0</v>
      </c>
      <c r="AD62" s="201">
        <f>(AD58/$Z$28+(AD59/$Z$27)+(AD60/$Z$29))</f>
        <v>468659.13616544224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8"/>
        <v>498</v>
      </c>
      <c r="M63" s="148"/>
      <c r="N63" s="148"/>
      <c r="O63" s="30" t="e">
        <f t="shared" si="18"/>
        <v>#DIV/0!</v>
      </c>
      <c r="P63" s="171"/>
      <c r="Q63" s="31">
        <f t="shared" si="19"/>
        <v>0</v>
      </c>
      <c r="R63" s="31"/>
      <c r="S63" s="28">
        <f t="shared" si="3"/>
        <v>0</v>
      </c>
      <c r="T63" s="28">
        <f t="shared" si="4"/>
        <v>0</v>
      </c>
      <c r="U63" s="28">
        <f t="shared" si="5"/>
        <v>0</v>
      </c>
      <c r="V63" s="28">
        <f t="shared" si="6"/>
        <v>0</v>
      </c>
      <c r="W63" s="31">
        <f t="shared" si="9"/>
        <v>498</v>
      </c>
      <c r="X63" s="408"/>
      <c r="Y63" s="368" t="s">
        <v>318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8"/>
        <v>498</v>
      </c>
      <c r="M64" s="148"/>
      <c r="N64" s="148"/>
      <c r="O64" s="30" t="e">
        <f t="shared" si="18"/>
        <v>#DIV/0!</v>
      </c>
      <c r="P64" s="171"/>
      <c r="Q64" s="31">
        <f t="shared" si="19"/>
        <v>0</v>
      </c>
      <c r="R64" s="31"/>
      <c r="S64" s="28">
        <f t="shared" si="3"/>
        <v>0</v>
      </c>
      <c r="T64" s="28">
        <f t="shared" si="4"/>
        <v>0</v>
      </c>
      <c r="U64" s="28">
        <f t="shared" si="5"/>
        <v>0</v>
      </c>
      <c r="V64" s="28">
        <f t="shared" si="6"/>
        <v>0</v>
      </c>
      <c r="W64" s="31">
        <f t="shared" si="9"/>
        <v>498</v>
      </c>
      <c r="X64" s="408"/>
      <c r="Y64" s="368" t="s">
        <v>317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8"/>
        <v>498</v>
      </c>
      <c r="M65" s="148"/>
      <c r="N65" s="148"/>
      <c r="O65" s="30" t="e">
        <f t="shared" si="18"/>
        <v>#DIV/0!</v>
      </c>
      <c r="P65" s="171"/>
      <c r="Q65" s="31">
        <f t="shared" si="19"/>
        <v>0</v>
      </c>
      <c r="R65" s="31"/>
      <c r="S65" s="28">
        <f t="shared" si="3"/>
        <v>0</v>
      </c>
      <c r="T65" s="28">
        <f t="shared" si="4"/>
        <v>0</v>
      </c>
      <c r="U65" s="28">
        <f t="shared" si="5"/>
        <v>0</v>
      </c>
      <c r="V65" s="28">
        <f t="shared" si="6"/>
        <v>0</v>
      </c>
      <c r="W65" s="31">
        <f t="shared" si="9"/>
        <v>498</v>
      </c>
      <c r="X65" s="408"/>
      <c r="Y65" s="371" t="s">
        <v>115</v>
      </c>
      <c r="Z65" s="484"/>
      <c r="AA65" s="203">
        <v>122289.80560000002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ref="K66:K103" si="20">SUM(H66:J66)</f>
        <v>0</v>
      </c>
      <c r="L66" s="28">
        <f t="shared" si="8"/>
        <v>498</v>
      </c>
      <c r="M66" s="148"/>
      <c r="N66" s="148"/>
      <c r="O66" s="30" t="e">
        <f t="shared" si="18"/>
        <v>#DIV/0!</v>
      </c>
      <c r="P66" s="171"/>
      <c r="Q66" s="31">
        <f t="shared" si="19"/>
        <v>0</v>
      </c>
      <c r="R66" s="31"/>
      <c r="S66" s="28">
        <f t="shared" ref="S66:S103" si="21">IF(H66&lt;&gt;0,+H66+Q66+R66,0)</f>
        <v>0</v>
      </c>
      <c r="T66" s="28">
        <f t="shared" ref="T66:T103" si="22">IF(I66&lt;&gt;0,+I66+Q66+R66,0)</f>
        <v>0</v>
      </c>
      <c r="U66" s="28">
        <f t="shared" ref="U66:U103" si="23">IF(J66&lt;&gt;0,+J66+Q66+R66,0)</f>
        <v>0</v>
      </c>
      <c r="V66" s="28">
        <f t="shared" ref="V66:V103" si="24">+S66+T66+U66</f>
        <v>0</v>
      </c>
      <c r="W66" s="31">
        <f t="shared" si="9"/>
        <v>498</v>
      </c>
      <c r="X66" s="408"/>
      <c r="Y66" s="814" t="s">
        <v>116</v>
      </c>
      <c r="Z66" s="815"/>
      <c r="AA66" s="203">
        <v>52014.378240000005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20"/>
        <v>0</v>
      </c>
      <c r="L67" s="28">
        <f t="shared" ref="L67:L103" si="25">+L66-K67</f>
        <v>498</v>
      </c>
      <c r="M67" s="148"/>
      <c r="N67" s="148"/>
      <c r="O67" s="30" t="e">
        <f t="shared" si="18"/>
        <v>#DIV/0!</v>
      </c>
      <c r="P67" s="171"/>
      <c r="Q67" s="31">
        <f t="shared" si="19"/>
        <v>0</v>
      </c>
      <c r="R67" s="31"/>
      <c r="S67" s="28">
        <f t="shared" si="21"/>
        <v>0</v>
      </c>
      <c r="T67" s="28">
        <f t="shared" si="22"/>
        <v>0</v>
      </c>
      <c r="U67" s="28">
        <f t="shared" si="23"/>
        <v>0</v>
      </c>
      <c r="V67" s="28">
        <f t="shared" si="24"/>
        <v>0</v>
      </c>
      <c r="W67" s="31">
        <f t="shared" ref="W67:W103" si="26">+W66-V67</f>
        <v>498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20"/>
        <v>0</v>
      </c>
      <c r="L68" s="28">
        <f t="shared" si="25"/>
        <v>498</v>
      </c>
      <c r="M68" s="148"/>
      <c r="N68" s="148"/>
      <c r="O68" s="30" t="e">
        <f t="shared" si="18"/>
        <v>#DIV/0!</v>
      </c>
      <c r="P68" s="171"/>
      <c r="Q68" s="31">
        <f t="shared" si="19"/>
        <v>0</v>
      </c>
      <c r="R68" s="31"/>
      <c r="S68" s="28">
        <f t="shared" si="21"/>
        <v>0</v>
      </c>
      <c r="T68" s="28">
        <f t="shared" si="22"/>
        <v>0</v>
      </c>
      <c r="U68" s="28">
        <f t="shared" si="23"/>
        <v>0</v>
      </c>
      <c r="V68" s="28">
        <f t="shared" si="24"/>
        <v>0</v>
      </c>
      <c r="W68" s="31">
        <f t="shared" si="26"/>
        <v>498</v>
      </c>
      <c r="X68" s="211"/>
      <c r="Y68" s="814" t="s">
        <v>188</v>
      </c>
      <c r="Z68" s="815"/>
      <c r="AA68" s="207">
        <f>Z9*Z30+AC61</f>
        <v>497117.20382765232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20"/>
        <v>0</v>
      </c>
      <c r="L69" s="28">
        <f t="shared" si="25"/>
        <v>498</v>
      </c>
      <c r="M69" s="148"/>
      <c r="N69" s="148"/>
      <c r="O69" s="30" t="e">
        <f t="shared" si="18"/>
        <v>#DIV/0!</v>
      </c>
      <c r="P69" s="171"/>
      <c r="Q69" s="31">
        <f t="shared" si="19"/>
        <v>0</v>
      </c>
      <c r="R69" s="31"/>
      <c r="S69" s="28">
        <f t="shared" si="21"/>
        <v>0</v>
      </c>
      <c r="T69" s="28">
        <f t="shared" si="22"/>
        <v>0</v>
      </c>
      <c r="U69" s="28">
        <f t="shared" si="23"/>
        <v>0</v>
      </c>
      <c r="V69" s="28">
        <f t="shared" si="24"/>
        <v>0</v>
      </c>
      <c r="W69" s="31">
        <f t="shared" si="26"/>
        <v>498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20"/>
        <v>0</v>
      </c>
      <c r="L70" s="28">
        <f t="shared" si="25"/>
        <v>498</v>
      </c>
      <c r="M70" s="148"/>
      <c r="N70" s="148"/>
      <c r="O70" s="30" t="e">
        <f t="shared" si="18"/>
        <v>#DIV/0!</v>
      </c>
      <c r="P70" s="171"/>
      <c r="Q70" s="31">
        <f t="shared" si="19"/>
        <v>0</v>
      </c>
      <c r="R70" s="31"/>
      <c r="S70" s="28">
        <f t="shared" si="21"/>
        <v>0</v>
      </c>
      <c r="T70" s="28">
        <f t="shared" si="22"/>
        <v>0</v>
      </c>
      <c r="U70" s="28">
        <f t="shared" si="23"/>
        <v>0</v>
      </c>
      <c r="V70" s="28">
        <f t="shared" si="24"/>
        <v>0</v>
      </c>
      <c r="W70" s="31">
        <f t="shared" si="26"/>
        <v>498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20"/>
        <v>0</v>
      </c>
      <c r="L71" s="28">
        <f t="shared" si="25"/>
        <v>498</v>
      </c>
      <c r="M71" s="148"/>
      <c r="N71" s="148"/>
      <c r="O71" s="30" t="e">
        <f t="shared" si="18"/>
        <v>#DIV/0!</v>
      </c>
      <c r="P71" s="171"/>
      <c r="Q71" s="31">
        <f t="shared" si="19"/>
        <v>0</v>
      </c>
      <c r="R71" s="31"/>
      <c r="S71" s="28">
        <f t="shared" si="21"/>
        <v>0</v>
      </c>
      <c r="T71" s="28">
        <f t="shared" si="22"/>
        <v>0</v>
      </c>
      <c r="U71" s="28">
        <f t="shared" si="23"/>
        <v>0</v>
      </c>
      <c r="V71" s="28">
        <f t="shared" si="24"/>
        <v>0</v>
      </c>
      <c r="W71" s="31">
        <f t="shared" si="26"/>
        <v>498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20"/>
        <v>0</v>
      </c>
      <c r="L72" s="28">
        <f t="shared" si="25"/>
        <v>498</v>
      </c>
      <c r="M72" s="148"/>
      <c r="N72" s="148"/>
      <c r="O72" s="30" t="e">
        <f t="shared" si="18"/>
        <v>#DIV/0!</v>
      </c>
      <c r="P72" s="171"/>
      <c r="Q72" s="31">
        <f t="shared" si="19"/>
        <v>0</v>
      </c>
      <c r="R72" s="31"/>
      <c r="S72" s="28">
        <f t="shared" si="21"/>
        <v>0</v>
      </c>
      <c r="T72" s="28">
        <f t="shared" si="22"/>
        <v>0</v>
      </c>
      <c r="U72" s="28">
        <f t="shared" si="23"/>
        <v>0</v>
      </c>
      <c r="V72" s="28">
        <f t="shared" si="24"/>
        <v>0</v>
      </c>
      <c r="W72" s="31">
        <f t="shared" si="26"/>
        <v>498</v>
      </c>
      <c r="X72" s="211"/>
      <c r="Y72" s="214" t="s">
        <v>47</v>
      </c>
      <c r="Z72" s="215">
        <f ca="1">Z8</f>
        <v>41938</v>
      </c>
      <c r="AA72" s="818" t="s">
        <v>118</v>
      </c>
      <c r="AB72" s="818"/>
      <c r="AC72" s="818"/>
      <c r="AD72" s="216">
        <v>7.25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20"/>
        <v>0</v>
      </c>
      <c r="L73" s="28">
        <f t="shared" si="25"/>
        <v>498</v>
      </c>
      <c r="M73" s="148"/>
      <c r="N73" s="148"/>
      <c r="O73" s="30" t="e">
        <f t="shared" si="18"/>
        <v>#DIV/0!</v>
      </c>
      <c r="P73" s="171"/>
      <c r="Q73" s="31">
        <f t="shared" si="19"/>
        <v>0</v>
      </c>
      <c r="R73" s="31"/>
      <c r="S73" s="28">
        <f t="shared" si="21"/>
        <v>0</v>
      </c>
      <c r="T73" s="28">
        <f t="shared" si="22"/>
        <v>0</v>
      </c>
      <c r="U73" s="28">
        <f t="shared" si="23"/>
        <v>0</v>
      </c>
      <c r="V73" s="28">
        <f t="shared" si="24"/>
        <v>0</v>
      </c>
      <c r="W73" s="31">
        <f t="shared" si="26"/>
        <v>498</v>
      </c>
      <c r="X73" s="211"/>
      <c r="Y73" s="214" t="s">
        <v>119</v>
      </c>
      <c r="Z73" s="480">
        <f>AD72</f>
        <v>7.25</v>
      </c>
      <c r="AA73" s="749" t="s">
        <v>120</v>
      </c>
      <c r="AB73" s="749"/>
      <c r="AC73" s="749"/>
      <c r="AD73" s="219">
        <f>24-AD72</f>
        <v>16.75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si="20"/>
        <v>0</v>
      </c>
      <c r="L74" s="28">
        <f t="shared" si="25"/>
        <v>498</v>
      </c>
      <c r="M74" s="148"/>
      <c r="N74" s="148"/>
      <c r="O74" s="30" t="e">
        <f t="shared" si="18"/>
        <v>#DIV/0!</v>
      </c>
      <c r="P74" s="171"/>
      <c r="Q74" s="31">
        <f t="shared" si="19"/>
        <v>0</v>
      </c>
      <c r="R74" s="31"/>
      <c r="S74" s="28">
        <f t="shared" si="21"/>
        <v>0</v>
      </c>
      <c r="T74" s="28">
        <f t="shared" si="22"/>
        <v>0</v>
      </c>
      <c r="U74" s="28">
        <f t="shared" si="23"/>
        <v>0</v>
      </c>
      <c r="V74" s="28">
        <f t="shared" si="24"/>
        <v>0</v>
      </c>
      <c r="W74" s="31">
        <f t="shared" si="26"/>
        <v>498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48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0"/>
        <v>0</v>
      </c>
      <c r="L75" s="28">
        <f t="shared" si="25"/>
        <v>498</v>
      </c>
      <c r="M75" s="148"/>
      <c r="N75" s="148"/>
      <c r="O75" s="30" t="e">
        <f t="shared" si="18"/>
        <v>#DIV/0!</v>
      </c>
      <c r="P75" s="171"/>
      <c r="Q75" s="31">
        <f t="shared" si="19"/>
        <v>0</v>
      </c>
      <c r="R75" s="31"/>
      <c r="S75" s="28">
        <f t="shared" si="21"/>
        <v>0</v>
      </c>
      <c r="T75" s="28">
        <f t="shared" si="22"/>
        <v>0</v>
      </c>
      <c r="U75" s="28">
        <f t="shared" si="23"/>
        <v>0</v>
      </c>
      <c r="V75" s="28">
        <f t="shared" si="24"/>
        <v>0</v>
      </c>
      <c r="W75" s="31">
        <f t="shared" si="26"/>
        <v>498</v>
      </c>
      <c r="X75" s="211"/>
      <c r="Y75" s="748" t="s">
        <v>121</v>
      </c>
      <c r="Z75" s="748" t="s">
        <v>122</v>
      </c>
      <c r="AA75" s="748" t="s">
        <v>123</v>
      </c>
      <c r="AB75" s="820" t="s">
        <v>124</v>
      </c>
      <c r="AC75" s="821"/>
      <c r="AD75" s="822"/>
      <c r="AE75" s="748" t="s">
        <v>125</v>
      </c>
      <c r="AF75" s="748" t="s">
        <v>126</v>
      </c>
      <c r="AG75" s="149"/>
      <c r="AH75" s="748" t="s">
        <v>121</v>
      </c>
      <c r="AI75" s="748"/>
      <c r="AJ75" s="214" t="s">
        <v>7</v>
      </c>
      <c r="AK75" s="236">
        <f>((+AD78-AA78)/$AD$73)*24</f>
        <v>67485.13432835821</v>
      </c>
      <c r="AL75" s="236">
        <f>AK75</f>
        <v>67485.13432835821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0"/>
        <v>0</v>
      </c>
      <c r="L76" s="28">
        <f t="shared" si="25"/>
        <v>498</v>
      </c>
      <c r="M76" s="148"/>
      <c r="N76" s="148"/>
      <c r="O76" s="30" t="e">
        <f t="shared" si="18"/>
        <v>#DIV/0!</v>
      </c>
      <c r="P76" s="171"/>
      <c r="Q76" s="31">
        <f t="shared" si="19"/>
        <v>0</v>
      </c>
      <c r="R76" s="31"/>
      <c r="S76" s="28">
        <f t="shared" si="21"/>
        <v>0</v>
      </c>
      <c r="T76" s="28">
        <f t="shared" si="22"/>
        <v>0</v>
      </c>
      <c r="U76" s="28">
        <f t="shared" si="23"/>
        <v>0</v>
      </c>
      <c r="V76" s="28">
        <f t="shared" si="24"/>
        <v>0</v>
      </c>
      <c r="W76" s="31">
        <f t="shared" si="26"/>
        <v>498</v>
      </c>
      <c r="X76" s="211"/>
      <c r="Y76" s="748"/>
      <c r="Z76" s="748"/>
      <c r="AA76" s="748"/>
      <c r="AB76" s="748"/>
      <c r="AC76" s="748"/>
      <c r="AD76" s="748"/>
      <c r="AE76" s="748"/>
      <c r="AF76" s="748"/>
      <c r="AG76" s="149"/>
      <c r="AH76" s="748"/>
      <c r="AI76" s="748"/>
      <c r="AJ76" s="214" t="s">
        <v>6</v>
      </c>
      <c r="AK76" s="236">
        <f>((+AD79-AA79)/$AD$73)*24</f>
        <v>320268.89552238805</v>
      </c>
      <c r="AL76" s="236">
        <f>+AK76</f>
        <v>320268.89552238805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0"/>
        <v>0</v>
      </c>
      <c r="L77" s="28">
        <f t="shared" si="25"/>
        <v>498</v>
      </c>
      <c r="M77" s="148"/>
      <c r="N77" s="148"/>
      <c r="O77" s="30" t="e">
        <f t="shared" si="18"/>
        <v>#DIV/0!</v>
      </c>
      <c r="P77" s="171"/>
      <c r="Q77" s="31">
        <f t="shared" si="19"/>
        <v>0</v>
      </c>
      <c r="R77" s="31"/>
      <c r="S77" s="28">
        <f t="shared" si="21"/>
        <v>0</v>
      </c>
      <c r="T77" s="28">
        <f t="shared" si="22"/>
        <v>0</v>
      </c>
      <c r="U77" s="28">
        <f t="shared" si="23"/>
        <v>0</v>
      </c>
      <c r="V77" s="28">
        <f t="shared" si="24"/>
        <v>0</v>
      </c>
      <c r="W77" s="31">
        <f t="shared" si="26"/>
        <v>498</v>
      </c>
      <c r="X77" s="211"/>
      <c r="Y77" s="748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48"/>
      <c r="AI77" s="78"/>
      <c r="AJ77" s="214" t="s">
        <v>8</v>
      </c>
      <c r="AK77" s="236">
        <f>((+AD80-AA80)/$AD$73)*24</f>
        <v>84970.029850746272</v>
      </c>
      <c r="AL77" s="236">
        <f>AK77</f>
        <v>84970.029850746272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0"/>
        <v>0</v>
      </c>
      <c r="L78" s="28">
        <f t="shared" si="25"/>
        <v>498</v>
      </c>
      <c r="M78" s="148"/>
      <c r="N78" s="148"/>
      <c r="O78" s="30" t="e">
        <f t="shared" si="18"/>
        <v>#DIV/0!</v>
      </c>
      <c r="P78" s="171"/>
      <c r="Q78" s="31">
        <f t="shared" si="19"/>
        <v>0</v>
      </c>
      <c r="R78" s="31"/>
      <c r="S78" s="28">
        <f t="shared" si="21"/>
        <v>0</v>
      </c>
      <c r="T78" s="28">
        <f t="shared" si="22"/>
        <v>0</v>
      </c>
      <c r="U78" s="28">
        <f t="shared" si="23"/>
        <v>0</v>
      </c>
      <c r="V78" s="28">
        <f t="shared" si="24"/>
        <v>0</v>
      </c>
      <c r="W78" s="31">
        <f t="shared" si="26"/>
        <v>498</v>
      </c>
      <c r="X78" s="211"/>
      <c r="Y78" s="214" t="s">
        <v>7</v>
      </c>
      <c r="Z78" s="224">
        <v>101612</v>
      </c>
      <c r="AA78" s="225">
        <v>42737</v>
      </c>
      <c r="AB78" s="226">
        <f t="shared" ref="AB78:AC80" si="27">+Z58</f>
        <v>27715</v>
      </c>
      <c r="AC78" s="226">
        <f t="shared" si="27"/>
        <v>62121</v>
      </c>
      <c r="AD78" s="226">
        <f>+AB78+AC78+AB58+AC58</f>
        <v>89836</v>
      </c>
      <c r="AE78" s="519">
        <f>+((AD58/24)*$AD$73)+AA78</f>
        <v>105435.04166666666</v>
      </c>
      <c r="AF78" s="227">
        <f>+AE78-AD78</f>
        <v>15599.041666666657</v>
      </c>
      <c r="AG78" s="212"/>
      <c r="AH78" s="214" t="s">
        <v>7</v>
      </c>
      <c r="AI78" s="446">
        <f>+AA78</f>
        <v>42737</v>
      </c>
      <c r="AK78" s="231">
        <f>+SUM(AK75:AK77)</f>
        <v>472724.05970149254</v>
      </c>
      <c r="AL78" s="231">
        <f>+SUM(AL75:AL77)</f>
        <v>472724.05970149254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0"/>
        <v>0</v>
      </c>
      <c r="L79" s="28">
        <f t="shared" si="25"/>
        <v>498</v>
      </c>
      <c r="M79" s="148"/>
      <c r="N79" s="148"/>
      <c r="O79" s="30" t="e">
        <f t="shared" si="18"/>
        <v>#DIV/0!</v>
      </c>
      <c r="P79" s="171"/>
      <c r="Q79" s="31">
        <f t="shared" si="19"/>
        <v>0</v>
      </c>
      <c r="R79" s="31"/>
      <c r="S79" s="28">
        <f t="shared" si="21"/>
        <v>0</v>
      </c>
      <c r="T79" s="28">
        <f t="shared" si="22"/>
        <v>0</v>
      </c>
      <c r="U79" s="28">
        <f t="shared" si="23"/>
        <v>0</v>
      </c>
      <c r="V79" s="28">
        <f t="shared" si="24"/>
        <v>0</v>
      </c>
      <c r="W79" s="31">
        <f t="shared" si="26"/>
        <v>498</v>
      </c>
      <c r="X79" s="211"/>
      <c r="Y79" s="214" t="s">
        <v>6</v>
      </c>
      <c r="Z79" s="224">
        <v>282585</v>
      </c>
      <c r="AA79" s="225">
        <v>74000</v>
      </c>
      <c r="AB79" s="226">
        <f t="shared" si="27"/>
        <v>151147</v>
      </c>
      <c r="AC79" s="226">
        <f t="shared" si="27"/>
        <v>146374</v>
      </c>
      <c r="AD79" s="226">
        <f>+AB79+AC79+AB59</f>
        <v>297521</v>
      </c>
      <c r="AE79" s="519">
        <f>+((AD59/24)*$AD$73)+AA79</f>
        <v>281644.86458333337</v>
      </c>
      <c r="AF79" s="227">
        <f>+AE79-AD79</f>
        <v>-15876.135416666628</v>
      </c>
      <c r="AG79" s="212"/>
      <c r="AH79" s="214" t="s">
        <v>6</v>
      </c>
      <c r="AI79" s="446">
        <f>+AA79</f>
        <v>74000</v>
      </c>
      <c r="AJ79" s="53"/>
      <c r="AK79" s="481">
        <f>Z10</f>
        <v>497117</v>
      </c>
      <c r="AL79" s="481">
        <f>AK79-AK78</f>
        <v>24392.940298507456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0"/>
        <v>0</v>
      </c>
      <c r="L80" s="28">
        <f t="shared" si="25"/>
        <v>498</v>
      </c>
      <c r="M80" s="148"/>
      <c r="N80" s="234"/>
      <c r="O80" s="30" t="e">
        <f t="shared" si="18"/>
        <v>#DIV/0!</v>
      </c>
      <c r="P80" s="179"/>
      <c r="Q80" s="31">
        <f t="shared" si="19"/>
        <v>0</v>
      </c>
      <c r="R80" s="31"/>
      <c r="S80" s="28">
        <f t="shared" si="21"/>
        <v>0</v>
      </c>
      <c r="T80" s="28">
        <f t="shared" si="22"/>
        <v>0</v>
      </c>
      <c r="U80" s="28">
        <f t="shared" si="23"/>
        <v>0</v>
      </c>
      <c r="V80" s="28">
        <f t="shared" si="24"/>
        <v>0</v>
      </c>
      <c r="W80" s="31">
        <f t="shared" si="26"/>
        <v>498</v>
      </c>
      <c r="X80" s="211"/>
      <c r="Y80" s="214" t="s">
        <v>8</v>
      </c>
      <c r="Z80" s="224">
        <v>80000</v>
      </c>
      <c r="AA80" s="225">
        <v>20698</v>
      </c>
      <c r="AB80" s="226">
        <f t="shared" si="27"/>
        <v>34400</v>
      </c>
      <c r="AC80" s="226">
        <f t="shared" si="27"/>
        <v>45600</v>
      </c>
      <c r="AD80" s="226">
        <f>+AB80+AC80</f>
        <v>80000</v>
      </c>
      <c r="AE80" s="519">
        <f>+((AD60/24)*$AD$73)+AA80</f>
        <v>76531.333333333343</v>
      </c>
      <c r="AF80" s="227">
        <f>+AE80-AD80</f>
        <v>-3468.666666666657</v>
      </c>
      <c r="AG80" s="149"/>
      <c r="AH80" s="214" t="s">
        <v>8</v>
      </c>
      <c r="AI80" s="447">
        <f>+AA80</f>
        <v>20698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0"/>
        <v>0</v>
      </c>
      <c r="L81" s="28">
        <f t="shared" si="25"/>
        <v>498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9"/>
        <v>0</v>
      </c>
      <c r="R81" s="31"/>
      <c r="S81" s="28">
        <f t="shared" si="21"/>
        <v>0</v>
      </c>
      <c r="T81" s="28">
        <f t="shared" si="22"/>
        <v>0</v>
      </c>
      <c r="U81" s="28">
        <f t="shared" si="23"/>
        <v>0</v>
      </c>
      <c r="V81" s="28">
        <f t="shared" si="24"/>
        <v>0</v>
      </c>
      <c r="W81" s="31">
        <f t="shared" si="26"/>
        <v>498</v>
      </c>
      <c r="X81" s="211"/>
      <c r="Y81" s="228" t="s">
        <v>130</v>
      </c>
      <c r="Z81" s="229">
        <f t="shared" ref="Z81:AE81" si="28">SUM(Z78:Z80)</f>
        <v>464197</v>
      </c>
      <c r="AA81" s="230">
        <f t="shared" si="28"/>
        <v>137435</v>
      </c>
      <c r="AB81" s="229">
        <f t="shared" si="28"/>
        <v>213262</v>
      </c>
      <c r="AC81" s="229">
        <f t="shared" si="28"/>
        <v>254095</v>
      </c>
      <c r="AD81" s="229">
        <f t="shared" si="28"/>
        <v>467357</v>
      </c>
      <c r="AE81" s="229">
        <f t="shared" si="28"/>
        <v>463611.23958333337</v>
      </c>
      <c r="AF81" s="227">
        <f>+SUM(AF78:AF80)</f>
        <v>-3745.7604166666279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0"/>
        <v>0</v>
      </c>
      <c r="L82" s="28">
        <f t="shared" si="25"/>
        <v>498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21"/>
        <v>0</v>
      </c>
      <c r="T82" s="28">
        <f t="shared" si="22"/>
        <v>0</v>
      </c>
      <c r="U82" s="28">
        <f t="shared" si="23"/>
        <v>0</v>
      </c>
      <c r="V82" s="28">
        <f t="shared" si="24"/>
        <v>0</v>
      </c>
      <c r="W82" s="31">
        <f t="shared" si="26"/>
        <v>498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0"/>
        <v>0</v>
      </c>
      <c r="L83" s="28">
        <f t="shared" si="25"/>
        <v>498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21"/>
        <v>0</v>
      </c>
      <c r="T83" s="28">
        <f t="shared" si="22"/>
        <v>0</v>
      </c>
      <c r="U83" s="28">
        <f t="shared" si="23"/>
        <v>0</v>
      </c>
      <c r="V83" s="28">
        <f t="shared" si="24"/>
        <v>0</v>
      </c>
      <c r="W83" s="31">
        <f t="shared" si="26"/>
        <v>498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0"/>
        <v>0</v>
      </c>
      <c r="L84" s="28">
        <f t="shared" si="25"/>
        <v>498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21"/>
        <v>0</v>
      </c>
      <c r="T84" s="28">
        <f t="shared" si="22"/>
        <v>0</v>
      </c>
      <c r="U84" s="28">
        <f t="shared" si="23"/>
        <v>0</v>
      </c>
      <c r="V84" s="28">
        <f t="shared" si="24"/>
        <v>0</v>
      </c>
      <c r="W84" s="31">
        <f t="shared" si="26"/>
        <v>498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0"/>
        <v>0</v>
      </c>
      <c r="L85" s="28">
        <f t="shared" si="25"/>
        <v>498</v>
      </c>
      <c r="M85" s="810"/>
      <c r="N85" s="810">
        <f>SUM(K85:K93)</f>
        <v>0</v>
      </c>
      <c r="O85" s="30" t="e">
        <f t="shared" ref="O85:O93" si="29">+K85/$N$85</f>
        <v>#DIV/0!</v>
      </c>
      <c r="P85" s="238"/>
      <c r="Q85" s="31">
        <f t="shared" ref="Q85:Q103" si="30">IF($P$85=0,0,(-($P$85*O85)+K85)-K85)</f>
        <v>0</v>
      </c>
      <c r="R85" s="31"/>
      <c r="S85" s="28">
        <f t="shared" si="21"/>
        <v>0</v>
      </c>
      <c r="T85" s="28">
        <f t="shared" si="22"/>
        <v>0</v>
      </c>
      <c r="U85" s="28">
        <f t="shared" si="23"/>
        <v>0</v>
      </c>
      <c r="V85" s="28">
        <f t="shared" si="24"/>
        <v>0</v>
      </c>
      <c r="W85" s="31">
        <f t="shared" si="26"/>
        <v>498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0"/>
        <v>0</v>
      </c>
      <c r="L86" s="28">
        <f t="shared" si="25"/>
        <v>498</v>
      </c>
      <c r="M86" s="810"/>
      <c r="N86" s="810"/>
      <c r="O86" s="30" t="e">
        <f t="shared" si="29"/>
        <v>#DIV/0!</v>
      </c>
      <c r="P86" s="171"/>
      <c r="Q86" s="31">
        <f t="shared" si="30"/>
        <v>0</v>
      </c>
      <c r="R86" s="31"/>
      <c r="S86" s="28">
        <f t="shared" si="21"/>
        <v>0</v>
      </c>
      <c r="T86" s="28">
        <f t="shared" si="22"/>
        <v>0</v>
      </c>
      <c r="U86" s="28">
        <f t="shared" si="23"/>
        <v>0</v>
      </c>
      <c r="V86" s="28">
        <f t="shared" si="24"/>
        <v>0</v>
      </c>
      <c r="W86" s="31">
        <f t="shared" si="26"/>
        <v>498</v>
      </c>
      <c r="Y86" s="14" t="s">
        <v>177</v>
      </c>
      <c r="Z86" s="336" t="s">
        <v>178</v>
      </c>
      <c r="AA86" s="337">
        <f>+AA81</f>
        <v>137435</v>
      </c>
      <c r="AB86" s="337">
        <f>AA87-AA86</f>
        <v>134754.72916666669</v>
      </c>
      <c r="AC86" s="42">
        <f>AB86*24/5.5</f>
        <v>588020.63636363647</v>
      </c>
      <c r="AD86" s="338">
        <f>AC86+353111</f>
        <v>941131.63636363647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0"/>
        <v>0</v>
      </c>
      <c r="L87" s="28">
        <f t="shared" si="25"/>
        <v>498</v>
      </c>
      <c r="M87" s="810"/>
      <c r="N87" s="810"/>
      <c r="O87" s="30" t="e">
        <f t="shared" si="29"/>
        <v>#DIV/0!</v>
      </c>
      <c r="P87" s="171"/>
      <c r="Q87" s="31">
        <f t="shared" si="30"/>
        <v>0</v>
      </c>
      <c r="R87" s="31"/>
      <c r="S87" s="28">
        <f t="shared" si="21"/>
        <v>0</v>
      </c>
      <c r="T87" s="28">
        <f t="shared" si="22"/>
        <v>0</v>
      </c>
      <c r="U87" s="28">
        <f t="shared" si="23"/>
        <v>0</v>
      </c>
      <c r="V87" s="28">
        <f t="shared" si="24"/>
        <v>0</v>
      </c>
      <c r="W87" s="31">
        <f t="shared" si="26"/>
        <v>498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215676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0"/>
        <v>0</v>
      </c>
      <c r="L88" s="28">
        <f t="shared" si="25"/>
        <v>498</v>
      </c>
      <c r="M88" s="810"/>
      <c r="N88" s="810"/>
      <c r="O88" s="30" t="e">
        <f t="shared" si="29"/>
        <v>#DIV/0!</v>
      </c>
      <c r="P88" s="171"/>
      <c r="Q88" s="31">
        <f t="shared" si="30"/>
        <v>0</v>
      </c>
      <c r="R88" s="31"/>
      <c r="S88" s="28">
        <f t="shared" si="21"/>
        <v>0</v>
      </c>
      <c r="T88" s="28">
        <f t="shared" si="22"/>
        <v>0</v>
      </c>
      <c r="U88" s="28">
        <f t="shared" si="23"/>
        <v>0</v>
      </c>
      <c r="V88" s="28">
        <f t="shared" si="24"/>
        <v>0</v>
      </c>
      <c r="W88" s="31">
        <f t="shared" si="26"/>
        <v>498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0"/>
        <v>0</v>
      </c>
      <c r="L89" s="28">
        <f t="shared" si="25"/>
        <v>498</v>
      </c>
      <c r="M89" s="810"/>
      <c r="N89" s="810"/>
      <c r="O89" s="30" t="e">
        <f t="shared" si="29"/>
        <v>#DIV/0!</v>
      </c>
      <c r="P89" s="171"/>
      <c r="Q89" s="31">
        <f t="shared" si="30"/>
        <v>0</v>
      </c>
      <c r="R89" s="31"/>
      <c r="S89" s="28">
        <f t="shared" si="21"/>
        <v>0</v>
      </c>
      <c r="T89" s="28">
        <f t="shared" si="22"/>
        <v>0</v>
      </c>
      <c r="U89" s="28">
        <f t="shared" si="23"/>
        <v>0</v>
      </c>
      <c r="V89" s="28">
        <f t="shared" si="24"/>
        <v>0</v>
      </c>
      <c r="W89" s="31">
        <f t="shared" si="26"/>
        <v>498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0"/>
        <v>0</v>
      </c>
      <c r="L90" s="28">
        <f t="shared" si="25"/>
        <v>498</v>
      </c>
      <c r="M90" s="810"/>
      <c r="N90" s="810"/>
      <c r="O90" s="30" t="e">
        <f t="shared" si="29"/>
        <v>#DIV/0!</v>
      </c>
      <c r="P90" s="171"/>
      <c r="Q90" s="31">
        <f t="shared" si="30"/>
        <v>0</v>
      </c>
      <c r="R90" s="31"/>
      <c r="S90" s="28">
        <f t="shared" si="21"/>
        <v>0</v>
      </c>
      <c r="T90" s="28">
        <f t="shared" si="22"/>
        <v>0</v>
      </c>
      <c r="U90" s="28">
        <f t="shared" si="23"/>
        <v>0</v>
      </c>
      <c r="V90" s="28">
        <f t="shared" si="24"/>
        <v>0</v>
      </c>
      <c r="W90" s="31">
        <f t="shared" si="26"/>
        <v>498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0"/>
        <v>0</v>
      </c>
      <c r="L91" s="28">
        <f t="shared" si="25"/>
        <v>498</v>
      </c>
      <c r="M91" s="810"/>
      <c r="N91" s="810"/>
      <c r="O91" s="30" t="e">
        <f t="shared" si="29"/>
        <v>#DIV/0!</v>
      </c>
      <c r="P91" s="171"/>
      <c r="Q91" s="31">
        <f t="shared" si="30"/>
        <v>0</v>
      </c>
      <c r="R91" s="31"/>
      <c r="S91" s="28">
        <f t="shared" si="21"/>
        <v>0</v>
      </c>
      <c r="T91" s="28">
        <f t="shared" si="22"/>
        <v>0</v>
      </c>
      <c r="U91" s="28">
        <f t="shared" si="23"/>
        <v>0</v>
      </c>
      <c r="V91" s="28">
        <f t="shared" si="24"/>
        <v>0</v>
      </c>
      <c r="W91" s="31">
        <f t="shared" si="26"/>
        <v>498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0"/>
        <v>0</v>
      </c>
      <c r="L92" s="28">
        <f t="shared" si="25"/>
        <v>498</v>
      </c>
      <c r="M92" s="810"/>
      <c r="N92" s="810"/>
      <c r="O92" s="30" t="e">
        <f t="shared" si="29"/>
        <v>#DIV/0!</v>
      </c>
      <c r="P92" s="171"/>
      <c r="Q92" s="31">
        <f t="shared" si="30"/>
        <v>0</v>
      </c>
      <c r="R92" s="31"/>
      <c r="S92" s="28">
        <f t="shared" si="21"/>
        <v>0</v>
      </c>
      <c r="T92" s="28">
        <f t="shared" si="22"/>
        <v>0</v>
      </c>
      <c r="U92" s="28">
        <f t="shared" si="23"/>
        <v>0</v>
      </c>
      <c r="V92" s="28">
        <f t="shared" si="24"/>
        <v>0</v>
      </c>
      <c r="W92" s="31">
        <f t="shared" si="26"/>
        <v>498</v>
      </c>
      <c r="Y92" s="882" t="s">
        <v>158</v>
      </c>
      <c r="Z92" s="586" t="s">
        <v>283</v>
      </c>
      <c r="AA92" s="699">
        <f>(SUMIF($D$2:$D$57,"domiciliario",$I$2:$I$103))/1000</f>
        <v>19.395</v>
      </c>
      <c r="AB92" s="700">
        <f>(SUMIF($D$2:$D$57,"domiciliario",$T$2:$T$103))/1000</f>
        <v>19.395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0"/>
        <v>0</v>
      </c>
      <c r="L93" s="28">
        <f t="shared" si="25"/>
        <v>498</v>
      </c>
      <c r="M93" s="810"/>
      <c r="N93" s="810"/>
      <c r="O93" s="30" t="e">
        <f t="shared" si="29"/>
        <v>#DIV/0!</v>
      </c>
      <c r="P93" s="179"/>
      <c r="Q93" s="31">
        <f t="shared" si="30"/>
        <v>0</v>
      </c>
      <c r="R93" s="31"/>
      <c r="S93" s="28">
        <f t="shared" si="21"/>
        <v>0</v>
      </c>
      <c r="T93" s="28">
        <f t="shared" si="22"/>
        <v>0</v>
      </c>
      <c r="U93" s="28">
        <f t="shared" si="23"/>
        <v>0</v>
      </c>
      <c r="V93" s="28">
        <f t="shared" si="24"/>
        <v>0</v>
      </c>
      <c r="W93" s="31">
        <f t="shared" si="26"/>
        <v>498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0"/>
        <v>0</v>
      </c>
      <c r="L94" s="28">
        <f t="shared" si="25"/>
        <v>498</v>
      </c>
      <c r="M94" s="810"/>
      <c r="N94" s="810">
        <f>SUM(K94:K103)</f>
        <v>0</v>
      </c>
      <c r="O94" s="30">
        <f t="shared" ref="O94:O103" si="31">IF($N$94=0,0,+K94/$N$94)</f>
        <v>0</v>
      </c>
      <c r="P94" s="238"/>
      <c r="Q94" s="31">
        <f t="shared" si="30"/>
        <v>0</v>
      </c>
      <c r="R94" s="31"/>
      <c r="S94" s="28">
        <f t="shared" si="21"/>
        <v>0</v>
      </c>
      <c r="T94" s="28">
        <f t="shared" si="22"/>
        <v>0</v>
      </c>
      <c r="U94" s="28">
        <f t="shared" si="23"/>
        <v>0</v>
      </c>
      <c r="V94" s="28">
        <f t="shared" si="24"/>
        <v>0</v>
      </c>
      <c r="W94" s="31">
        <f t="shared" si="26"/>
        <v>498</v>
      </c>
      <c r="Y94" s="883"/>
      <c r="Z94" s="588" t="s">
        <v>80</v>
      </c>
      <c r="AA94" s="701">
        <f>(SUMIF($D$2:$D$57,"gnv",$I$2:$I$103))/1000</f>
        <v>0.32</v>
      </c>
      <c r="AB94" s="702">
        <f>(SUMIF($D$2:$D$57,"gnv",$T$2:$T$103))/1000</f>
        <v>0.32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0"/>
        <v>0</v>
      </c>
      <c r="L95" s="28">
        <f t="shared" si="25"/>
        <v>498</v>
      </c>
      <c r="M95" s="810"/>
      <c r="N95" s="810"/>
      <c r="O95" s="30">
        <f t="shared" si="31"/>
        <v>0</v>
      </c>
      <c r="P95" s="171"/>
      <c r="Q95" s="31">
        <f t="shared" si="30"/>
        <v>0</v>
      </c>
      <c r="R95" s="31"/>
      <c r="S95" s="28">
        <f t="shared" si="21"/>
        <v>0</v>
      </c>
      <c r="T95" s="28">
        <f t="shared" si="22"/>
        <v>0</v>
      </c>
      <c r="U95" s="28">
        <f t="shared" si="23"/>
        <v>0</v>
      </c>
      <c r="V95" s="28">
        <f t="shared" si="24"/>
        <v>0</v>
      </c>
      <c r="W95" s="31">
        <f t="shared" si="26"/>
        <v>498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8</v>
      </c>
      <c r="AB95" s="702">
        <f>(SUMIF($D$2:$D$57,"termico",$T$2:$T$103)+SUMIF($D$2:$D$57,"electrico",$T$2:$T$103)+SUMIF($D$2:$D$57,"térmico",$T$2:$T$103))/1000</f>
        <v>8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0"/>
        <v>0</v>
      </c>
      <c r="L96" s="28">
        <f t="shared" si="25"/>
        <v>498</v>
      </c>
      <c r="M96" s="810"/>
      <c r="N96" s="810"/>
      <c r="O96" s="30">
        <f t="shared" si="31"/>
        <v>0</v>
      </c>
      <c r="P96" s="171"/>
      <c r="Q96" s="31">
        <f t="shared" si="30"/>
        <v>0</v>
      </c>
      <c r="R96" s="31"/>
      <c r="S96" s="28">
        <f t="shared" si="21"/>
        <v>0</v>
      </c>
      <c r="T96" s="28">
        <f t="shared" si="22"/>
        <v>0</v>
      </c>
      <c r="U96" s="28">
        <f t="shared" si="23"/>
        <v>0</v>
      </c>
      <c r="V96" s="28">
        <f t="shared" si="24"/>
        <v>0</v>
      </c>
      <c r="W96" s="31">
        <f t="shared" si="26"/>
        <v>498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0"/>
        <v>0</v>
      </c>
      <c r="L97" s="28">
        <f t="shared" si="25"/>
        <v>498</v>
      </c>
      <c r="M97" s="810"/>
      <c r="N97" s="810"/>
      <c r="O97" s="30">
        <f t="shared" si="31"/>
        <v>0</v>
      </c>
      <c r="P97" s="171"/>
      <c r="Q97" s="31">
        <f t="shared" si="30"/>
        <v>0</v>
      </c>
      <c r="R97" s="31"/>
      <c r="S97" s="28">
        <f t="shared" si="21"/>
        <v>0</v>
      </c>
      <c r="T97" s="28">
        <f t="shared" si="22"/>
        <v>0</v>
      </c>
      <c r="U97" s="28">
        <f t="shared" si="23"/>
        <v>0</v>
      </c>
      <c r="V97" s="28">
        <f t="shared" si="24"/>
        <v>0</v>
      </c>
      <c r="W97" s="31">
        <f t="shared" si="26"/>
        <v>498</v>
      </c>
      <c r="Y97" s="825" t="s">
        <v>154</v>
      </c>
      <c r="Z97" s="489" t="s">
        <v>283</v>
      </c>
      <c r="AA97" s="705">
        <f>(SUMIF($D$2:$D$57,"domiciliario",$H$2:$H$103))/1000</f>
        <v>31.797999999999998</v>
      </c>
      <c r="AB97" s="706">
        <f>(SUMIF($D$2:$D$57,"domiciliario",$S$2:$S$103))/1000</f>
        <v>31.797999999999998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0"/>
        <v>0</v>
      </c>
      <c r="L98" s="28">
        <f t="shared" si="25"/>
        <v>498</v>
      </c>
      <c r="M98" s="810"/>
      <c r="N98" s="810"/>
      <c r="O98" s="30">
        <f t="shared" si="31"/>
        <v>0</v>
      </c>
      <c r="P98" s="171"/>
      <c r="Q98" s="31">
        <f t="shared" si="30"/>
        <v>0</v>
      </c>
      <c r="R98" s="31"/>
      <c r="S98" s="28">
        <f t="shared" si="21"/>
        <v>0</v>
      </c>
      <c r="T98" s="28">
        <f t="shared" si="22"/>
        <v>0</v>
      </c>
      <c r="U98" s="28">
        <f t="shared" si="23"/>
        <v>0</v>
      </c>
      <c r="V98" s="28">
        <f t="shared" si="24"/>
        <v>0</v>
      </c>
      <c r="W98" s="31">
        <f t="shared" si="26"/>
        <v>498</v>
      </c>
      <c r="Y98" s="826"/>
      <c r="Z98" s="492" t="s">
        <v>284</v>
      </c>
      <c r="AA98" s="707">
        <f>(SUMIF($D$2:$D$57,"industrial",$H$2:$H$103))/1000</f>
        <v>16.18</v>
      </c>
      <c r="AB98" s="708">
        <f>(SUMIF($D$2:$D$57,"industrial",$S$2:$S$103))/1000</f>
        <v>16.18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0"/>
        <v>0</v>
      </c>
      <c r="L99" s="28">
        <f t="shared" si="25"/>
        <v>498</v>
      </c>
      <c r="M99" s="810"/>
      <c r="N99" s="810"/>
      <c r="O99" s="30">
        <f t="shared" si="31"/>
        <v>0</v>
      </c>
      <c r="P99" s="171"/>
      <c r="Q99" s="31">
        <f t="shared" si="30"/>
        <v>0</v>
      </c>
      <c r="R99" s="31"/>
      <c r="S99" s="28">
        <f t="shared" si="21"/>
        <v>0</v>
      </c>
      <c r="T99" s="28">
        <f t="shared" si="22"/>
        <v>0</v>
      </c>
      <c r="U99" s="28">
        <f t="shared" si="23"/>
        <v>0</v>
      </c>
      <c r="V99" s="28">
        <f t="shared" si="24"/>
        <v>0</v>
      </c>
      <c r="W99" s="31">
        <f t="shared" si="26"/>
        <v>498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0"/>
        <v>0</v>
      </c>
      <c r="L100" s="28">
        <f t="shared" si="25"/>
        <v>498</v>
      </c>
      <c r="M100" s="810"/>
      <c r="N100" s="810"/>
      <c r="O100" s="30">
        <f t="shared" si="31"/>
        <v>0</v>
      </c>
      <c r="P100" s="171"/>
      <c r="Q100" s="31">
        <f t="shared" si="30"/>
        <v>0</v>
      </c>
      <c r="R100" s="31"/>
      <c r="S100" s="28">
        <f t="shared" si="21"/>
        <v>0</v>
      </c>
      <c r="T100" s="28">
        <f t="shared" si="22"/>
        <v>0</v>
      </c>
      <c r="U100" s="28">
        <f t="shared" si="23"/>
        <v>0</v>
      </c>
      <c r="V100" s="28">
        <f t="shared" si="24"/>
        <v>0</v>
      </c>
      <c r="W100" s="31">
        <f t="shared" si="26"/>
        <v>498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103.169</v>
      </c>
      <c r="AB100" s="708">
        <f>(SUMIF($D$2:$D$57,"termico",$S$2:$S$103)+SUMIF($D$2:$D$57,"electrico",$S$2:$S$103)+SUMIF($D$2:$D$57,"térmico",$S$2:$S$103))/1000</f>
        <v>103.169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0"/>
        <v>0</v>
      </c>
      <c r="L101" s="28">
        <f t="shared" si="25"/>
        <v>498</v>
      </c>
      <c r="M101" s="810"/>
      <c r="N101" s="810"/>
      <c r="O101" s="30">
        <f t="shared" si="31"/>
        <v>0</v>
      </c>
      <c r="P101" s="171"/>
      <c r="Q101" s="31">
        <f t="shared" si="30"/>
        <v>0</v>
      </c>
      <c r="R101" s="31"/>
      <c r="S101" s="28">
        <f t="shared" si="21"/>
        <v>0</v>
      </c>
      <c r="T101" s="28">
        <f t="shared" si="22"/>
        <v>0</v>
      </c>
      <c r="U101" s="28">
        <f t="shared" si="23"/>
        <v>0</v>
      </c>
      <c r="V101" s="28">
        <f t="shared" si="24"/>
        <v>0</v>
      </c>
      <c r="W101" s="31">
        <f t="shared" si="26"/>
        <v>498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0"/>
        <v>0</v>
      </c>
      <c r="L102" s="28">
        <f t="shared" si="25"/>
        <v>498</v>
      </c>
      <c r="M102" s="810"/>
      <c r="N102" s="810"/>
      <c r="O102" s="30">
        <f t="shared" si="31"/>
        <v>0</v>
      </c>
      <c r="P102" s="171"/>
      <c r="Q102" s="31">
        <f t="shared" si="30"/>
        <v>0</v>
      </c>
      <c r="R102" s="31"/>
      <c r="S102" s="28">
        <f t="shared" si="21"/>
        <v>0</v>
      </c>
      <c r="T102" s="28">
        <f t="shared" si="22"/>
        <v>0</v>
      </c>
      <c r="U102" s="28">
        <f t="shared" si="23"/>
        <v>0</v>
      </c>
      <c r="V102" s="28">
        <f t="shared" si="24"/>
        <v>0</v>
      </c>
      <c r="W102" s="31">
        <f t="shared" si="26"/>
        <v>498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34.4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0"/>
        <v>0</v>
      </c>
      <c r="L103" s="28">
        <f t="shared" si="25"/>
        <v>498</v>
      </c>
      <c r="M103" s="810"/>
      <c r="N103" s="810"/>
      <c r="O103" s="30">
        <f t="shared" si="31"/>
        <v>0</v>
      </c>
      <c r="P103" s="179"/>
      <c r="Q103" s="31">
        <f t="shared" si="30"/>
        <v>0</v>
      </c>
      <c r="R103" s="31"/>
      <c r="S103" s="28">
        <f t="shared" si="21"/>
        <v>0</v>
      </c>
      <c r="T103" s="28">
        <f t="shared" si="22"/>
        <v>0</v>
      </c>
      <c r="U103" s="28">
        <f t="shared" si="23"/>
        <v>0</v>
      </c>
      <c r="V103" s="28">
        <f t="shared" si="24"/>
        <v>0</v>
      </c>
      <c r="W103" s="31">
        <f t="shared" si="26"/>
        <v>498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151147</v>
      </c>
      <c r="I105" s="252">
        <f>+SUM(I2:I103)</f>
        <v>27715</v>
      </c>
      <c r="J105" s="252">
        <f>+SUM(J2:J103)</f>
        <v>34400</v>
      </c>
      <c r="K105" s="252">
        <f>SUM(K2:K103)</f>
        <v>213262</v>
      </c>
      <c r="L105" s="253">
        <f>+L103</f>
        <v>498</v>
      </c>
      <c r="M105" s="252">
        <f>SUM(M2:M103)</f>
        <v>0</v>
      </c>
      <c r="N105" s="252">
        <f>SUM(N2:N103)</f>
        <v>213262</v>
      </c>
      <c r="O105" s="252"/>
      <c r="P105" s="252">
        <f>SUM(P2:P103)</f>
        <v>0</v>
      </c>
      <c r="Q105" s="252">
        <f>SUM(Q2:Q103)</f>
        <v>0</v>
      </c>
      <c r="R105" s="252">
        <f>SUM(R2:R103)</f>
        <v>0</v>
      </c>
      <c r="S105" s="252">
        <f>SUM(S2:S103)</f>
        <v>151147</v>
      </c>
      <c r="T105" s="252">
        <f>+SUM(T2:T103)</f>
        <v>27715</v>
      </c>
      <c r="U105" s="252">
        <f>SUM(U2:U103)</f>
        <v>34400</v>
      </c>
      <c r="V105" s="252">
        <f>SUM(V2:V103)</f>
        <v>213262</v>
      </c>
      <c r="W105" s="254">
        <f>+W103</f>
        <v>498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>
        <v>141781</v>
      </c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>
        <f>H106-H105</f>
        <v>-9366</v>
      </c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192762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-14570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29" priority="3" operator="lessThan">
      <formula>$AA$78</formula>
    </cfRule>
    <cfRule type="cellIs" dxfId="28" priority="5" operator="greaterThan">
      <formula>$AE$78</formula>
    </cfRule>
  </conditionalFormatting>
  <conditionalFormatting sqref="AA79">
    <cfRule type="cellIs" dxfId="27" priority="4" operator="greaterThan">
      <formula>$AE$79</formula>
    </cfRule>
  </conditionalFormatting>
  <conditionalFormatting sqref="AA80">
    <cfRule type="cellIs" dxfId="26" priority="2" operator="greaterThan">
      <formula>$AE$79</formula>
    </cfRule>
  </conditionalFormatting>
  <conditionalFormatting sqref="AU4:AU23">
    <cfRule type="cellIs" dxfId="2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86"/>
  <sheetViews>
    <sheetView topLeftCell="V1" zoomScale="90" zoomScaleNormal="90" workbookViewId="0">
      <selection activeCell="AD61" sqref="AD61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 t="shared" ref="K2:K65" si="0">SUM(H2:J2)</f>
        <v>3000</v>
      </c>
      <c r="L2" s="28">
        <f>AA4-K2</f>
        <v>210760</v>
      </c>
      <c r="M2" s="29"/>
      <c r="N2" s="798">
        <f>SUM(K2:K26)</f>
        <v>169555</v>
      </c>
      <c r="O2" s="30">
        <f t="shared" ref="O2:O17" si="1">+K2/$N$2</f>
        <v>1.7693373831500103E-2</v>
      </c>
      <c r="P2" s="801"/>
      <c r="Q2" s="31">
        <f t="shared" ref="Q2:Q15" si="2">IF($P$2=0,0,(-($P$2*O2)+K2)-K2)</f>
        <v>0</v>
      </c>
      <c r="R2" s="31"/>
      <c r="S2" s="28">
        <f t="shared" ref="S2:S65" si="3">IF(H2&lt;&gt;0,+H2+Q2+R2,0)</f>
        <v>3000</v>
      </c>
      <c r="T2" s="28">
        <f t="shared" ref="T2:T65" si="4">IF(I2&lt;&gt;0,+I2+Q2+R2,0)</f>
        <v>0</v>
      </c>
      <c r="U2" s="28">
        <f t="shared" ref="U2:U65" si="5">IF(J2&lt;&gt;0,+J2+Q2+R2,0)</f>
        <v>0</v>
      </c>
      <c r="V2" s="28">
        <f t="shared" ref="V2:V65" si="6">+S2+T2+U2</f>
        <v>3000</v>
      </c>
      <c r="W2" s="31">
        <f>Z24-V2</f>
        <v>210760</v>
      </c>
      <c r="X2" s="32">
        <f t="shared" ref="X2:X17" si="7"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52" t="s">
        <v>31</v>
      </c>
      <c r="AE2" s="752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si="0"/>
        <v>1100</v>
      </c>
      <c r="L3" s="28">
        <f t="shared" ref="L3:L66" si="8">+L2-K3</f>
        <v>209660</v>
      </c>
      <c r="M3" s="29"/>
      <c r="N3" s="799"/>
      <c r="O3" s="30">
        <f t="shared" si="1"/>
        <v>6.4875704048833714E-3</v>
      </c>
      <c r="P3" s="802"/>
      <c r="Q3" s="31">
        <f t="shared" si="2"/>
        <v>0</v>
      </c>
      <c r="R3" s="31"/>
      <c r="S3" s="28">
        <f t="shared" si="3"/>
        <v>0</v>
      </c>
      <c r="T3" s="28">
        <f t="shared" si="4"/>
        <v>1100</v>
      </c>
      <c r="U3" s="28">
        <f t="shared" si="5"/>
        <v>0</v>
      </c>
      <c r="V3" s="28">
        <f t="shared" si="6"/>
        <v>1100</v>
      </c>
      <c r="W3" s="31">
        <f t="shared" ref="W3:W66" si="9">+W2-V3</f>
        <v>209660</v>
      </c>
      <c r="X3" s="32">
        <f t="shared" si="7"/>
        <v>0</v>
      </c>
      <c r="Y3" s="37" t="s">
        <v>34</v>
      </c>
      <c r="Z3" s="38">
        <f>ROUND((Z13*57%),0)</f>
        <v>284145</v>
      </c>
      <c r="AA3" s="39">
        <f>ROUND((+Z14*0.57),0)</f>
        <v>283357</v>
      </c>
      <c r="AB3" s="454">
        <v>62121</v>
      </c>
      <c r="AC3" s="455">
        <v>159910</v>
      </c>
      <c r="AD3" s="40">
        <v>45600</v>
      </c>
      <c r="AE3" s="736">
        <f>SUM(AB3:AD3)</f>
        <v>267631</v>
      </c>
      <c r="AF3" s="41">
        <f>AA3-AE3</f>
        <v>15726</v>
      </c>
      <c r="AG3" s="42">
        <f>AA3-AB3-AC3-AD3</f>
        <v>15726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8"/>
        <v>198467</v>
      </c>
      <c r="M4" s="29"/>
      <c r="N4" s="799"/>
      <c r="O4" s="30">
        <f t="shared" si="1"/>
        <v>6.6013977765326887E-2</v>
      </c>
      <c r="P4" s="802"/>
      <c r="Q4" s="31">
        <f t="shared" si="2"/>
        <v>0</v>
      </c>
      <c r="R4" s="31"/>
      <c r="S4" s="28">
        <f t="shared" si="3"/>
        <v>0</v>
      </c>
      <c r="T4" s="28">
        <f t="shared" si="4"/>
        <v>11193</v>
      </c>
      <c r="U4" s="28">
        <f t="shared" si="5"/>
        <v>0</v>
      </c>
      <c r="V4" s="28">
        <f t="shared" si="6"/>
        <v>11193</v>
      </c>
      <c r="W4" s="31">
        <f t="shared" si="9"/>
        <v>198467</v>
      </c>
      <c r="X4" s="32">
        <f t="shared" si="7"/>
        <v>0</v>
      </c>
      <c r="Y4" s="37" t="s">
        <v>38</v>
      </c>
      <c r="Z4" s="38">
        <f>ROUND((Z13*43%),0)</f>
        <v>214355</v>
      </c>
      <c r="AA4" s="39">
        <f>ROUND((+Z14*0.43),0)</f>
        <v>213760</v>
      </c>
      <c r="AB4" s="43">
        <f>T105</f>
        <v>27715</v>
      </c>
      <c r="AC4" s="43">
        <f>S105</f>
        <v>151147</v>
      </c>
      <c r="AD4" s="40">
        <f>U105</f>
        <v>34400</v>
      </c>
      <c r="AE4" s="736">
        <f>SUM(AB4:AD4)</f>
        <v>213262</v>
      </c>
      <c r="AF4" s="41">
        <f>AA4-AE4</f>
        <v>498</v>
      </c>
      <c r="AG4" s="42">
        <f>AA4-AB4-AC4-AD4</f>
        <v>498</v>
      </c>
      <c r="AH4" s="751">
        <f>AG4/1000</f>
        <v>0.498</v>
      </c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8"/>
        <v>197267</v>
      </c>
      <c r="M5" s="29"/>
      <c r="N5" s="799"/>
      <c r="O5" s="30">
        <f t="shared" si="1"/>
        <v>7.0773495326000415E-3</v>
      </c>
      <c r="P5" s="802"/>
      <c r="Q5" s="31">
        <f t="shared" si="2"/>
        <v>0</v>
      </c>
      <c r="R5" s="31"/>
      <c r="S5" s="28">
        <f t="shared" si="3"/>
        <v>0</v>
      </c>
      <c r="T5" s="28">
        <f t="shared" si="4"/>
        <v>1200</v>
      </c>
      <c r="U5" s="28">
        <f t="shared" si="5"/>
        <v>0</v>
      </c>
      <c r="V5" s="28">
        <f t="shared" si="6"/>
        <v>1200</v>
      </c>
      <c r="W5" s="31">
        <f t="shared" si="9"/>
        <v>197267</v>
      </c>
      <c r="X5" s="32">
        <f t="shared" si="7"/>
        <v>0</v>
      </c>
      <c r="Y5" s="44" t="s">
        <v>41</v>
      </c>
      <c r="Z5" s="38">
        <f>SUM(Z3:Z4)</f>
        <v>498500</v>
      </c>
      <c r="AA5" s="45">
        <f>SUM(AA3:AA4)</f>
        <v>497117</v>
      </c>
      <c r="AB5" s="46">
        <f>SUM(AB3:AB4)</f>
        <v>89836</v>
      </c>
      <c r="AC5" s="41">
        <f>SUM(AC3:AC4)</f>
        <v>311057</v>
      </c>
      <c r="AD5" s="40">
        <f>SUM(AD3:AD4)</f>
        <v>80000</v>
      </c>
      <c r="AE5" s="41">
        <f>SUM(AB5:AD5)</f>
        <v>480893</v>
      </c>
      <c r="AF5" s="47">
        <f>SUM(AF3:AF4)</f>
        <v>16224</v>
      </c>
      <c r="AG5" s="47">
        <f>SUM(AG3:AG4)</f>
        <v>16224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8"/>
        <v>185267</v>
      </c>
      <c r="M6" s="29"/>
      <c r="N6" s="799"/>
      <c r="O6" s="30">
        <f t="shared" si="1"/>
        <v>7.0773495326000413E-2</v>
      </c>
      <c r="P6" s="802"/>
      <c r="Q6" s="31">
        <f t="shared" si="2"/>
        <v>0</v>
      </c>
      <c r="R6" s="48"/>
      <c r="S6" s="28">
        <f t="shared" si="3"/>
        <v>12000</v>
      </c>
      <c r="T6" s="28">
        <f t="shared" si="4"/>
        <v>0</v>
      </c>
      <c r="U6" s="28">
        <f t="shared" si="5"/>
        <v>0</v>
      </c>
      <c r="V6" s="28">
        <f t="shared" si="6"/>
        <v>12000</v>
      </c>
      <c r="W6" s="31">
        <f t="shared" si="9"/>
        <v>185267</v>
      </c>
      <c r="X6" s="32">
        <f t="shared" si="7"/>
        <v>0</v>
      </c>
      <c r="Z6" s="49">
        <f>5000*43%</f>
        <v>2150</v>
      </c>
      <c r="AA6" s="50"/>
      <c r="AB6" s="17"/>
      <c r="AC6" s="50"/>
      <c r="AD6" s="51">
        <f>80000-AD4</f>
        <v>45600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1940+11997</f>
        <v>13937</v>
      </c>
      <c r="I7" s="518">
        <f>800+460+2803</f>
        <v>4063</v>
      </c>
      <c r="J7" s="26"/>
      <c r="K7" s="27">
        <f t="shared" si="0"/>
        <v>18000</v>
      </c>
      <c r="L7" s="28">
        <f t="shared" si="8"/>
        <v>167267</v>
      </c>
      <c r="M7" s="29"/>
      <c r="N7" s="799"/>
      <c r="O7" s="30">
        <f t="shared" si="1"/>
        <v>0.10616024298900062</v>
      </c>
      <c r="P7" s="802"/>
      <c r="Q7" s="31">
        <f t="shared" si="2"/>
        <v>0</v>
      </c>
      <c r="R7" s="31"/>
      <c r="S7" s="28">
        <f t="shared" si="3"/>
        <v>13937</v>
      </c>
      <c r="T7" s="28">
        <f t="shared" si="4"/>
        <v>4063</v>
      </c>
      <c r="U7" s="28">
        <f t="shared" si="5"/>
        <v>0</v>
      </c>
      <c r="V7" s="28">
        <f t="shared" si="6"/>
        <v>18000</v>
      </c>
      <c r="W7" s="31">
        <f t="shared" si="9"/>
        <v>167267</v>
      </c>
      <c r="X7" s="32">
        <f t="shared" si="7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8"/>
        <v>164767</v>
      </c>
      <c r="M8" s="29"/>
      <c r="N8" s="799"/>
      <c r="O8" s="30">
        <f t="shared" si="1"/>
        <v>1.4744478192916752E-2</v>
      </c>
      <c r="P8" s="802"/>
      <c r="Q8" s="31">
        <f t="shared" si="2"/>
        <v>0</v>
      </c>
      <c r="R8" s="31"/>
      <c r="S8" s="28">
        <f t="shared" si="3"/>
        <v>2500</v>
      </c>
      <c r="T8" s="28">
        <f t="shared" si="4"/>
        <v>0</v>
      </c>
      <c r="U8" s="28">
        <f t="shared" si="5"/>
        <v>0</v>
      </c>
      <c r="V8" s="28">
        <f t="shared" si="6"/>
        <v>2500</v>
      </c>
      <c r="W8" s="31">
        <f t="shared" si="9"/>
        <v>164767</v>
      </c>
      <c r="X8" s="32">
        <f t="shared" si="7"/>
        <v>0</v>
      </c>
      <c r="Y8" s="14" t="s">
        <v>47</v>
      </c>
      <c r="Z8" s="732">
        <f ca="1">TODAY()</f>
        <v>41937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361</v>
      </c>
      <c r="I9" s="518">
        <v>1839</v>
      </c>
      <c r="J9" s="26"/>
      <c r="K9" s="27">
        <f t="shared" si="0"/>
        <v>2200</v>
      </c>
      <c r="L9" s="28">
        <f t="shared" si="8"/>
        <v>162567</v>
      </c>
      <c r="M9" s="29"/>
      <c r="N9" s="799"/>
      <c r="O9" s="30">
        <f t="shared" si="1"/>
        <v>1.2975140809766743E-2</v>
      </c>
      <c r="P9" s="802"/>
      <c r="Q9" s="31">
        <f t="shared" si="2"/>
        <v>0</v>
      </c>
      <c r="R9" s="31"/>
      <c r="S9" s="28">
        <f t="shared" si="3"/>
        <v>361</v>
      </c>
      <c r="T9" s="28">
        <f t="shared" si="4"/>
        <v>1839</v>
      </c>
      <c r="U9" s="28">
        <f t="shared" si="5"/>
        <v>0</v>
      </c>
      <c r="V9" s="28">
        <f t="shared" si="6"/>
        <v>2200</v>
      </c>
      <c r="W9" s="31">
        <f t="shared" si="9"/>
        <v>162567</v>
      </c>
      <c r="X9" s="32">
        <f t="shared" si="7"/>
        <v>0</v>
      </c>
      <c r="Y9" s="14" t="s">
        <v>189</v>
      </c>
      <c r="Z9" s="58">
        <v>498500</v>
      </c>
      <c r="AA9" s="59">
        <f>Z9*14.65/14.73</f>
        <v>495792.60013577732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8"/>
        <v>142567</v>
      </c>
      <c r="M10" s="29"/>
      <c r="N10" s="799"/>
      <c r="O10" s="30">
        <f t="shared" si="1"/>
        <v>0.11795582554333402</v>
      </c>
      <c r="P10" s="802"/>
      <c r="Q10" s="31">
        <f t="shared" si="2"/>
        <v>0</v>
      </c>
      <c r="R10" s="31">
        <v>0</v>
      </c>
      <c r="S10" s="28">
        <f t="shared" si="3"/>
        <v>15000</v>
      </c>
      <c r="T10" s="28">
        <f t="shared" si="4"/>
        <v>5000</v>
      </c>
      <c r="U10" s="28">
        <f t="shared" si="5"/>
        <v>0</v>
      </c>
      <c r="V10" s="28">
        <f t="shared" si="6"/>
        <v>20000</v>
      </c>
      <c r="W10" s="31">
        <f t="shared" si="9"/>
        <v>142567</v>
      </c>
      <c r="X10" s="32">
        <f t="shared" si="7"/>
        <v>0</v>
      </c>
      <c r="Y10" s="14" t="s">
        <v>191</v>
      </c>
      <c r="Z10" s="58">
        <f>ROUND((Z9*Z30),0)</f>
        <v>497117</v>
      </c>
      <c r="AA10" s="59">
        <f>Z10*14.65/14.73</f>
        <v>494417.11133740662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8"/>
        <v>124567</v>
      </c>
      <c r="M11" s="29"/>
      <c r="N11" s="799"/>
      <c r="O11" s="30">
        <f t="shared" si="1"/>
        <v>0.10616024298900062</v>
      </c>
      <c r="P11" s="802"/>
      <c r="Q11" s="31">
        <f t="shared" si="2"/>
        <v>0</v>
      </c>
      <c r="R11" s="31">
        <v>0</v>
      </c>
      <c r="S11" s="28">
        <f t="shared" si="3"/>
        <v>18000</v>
      </c>
      <c r="T11" s="28">
        <f t="shared" si="4"/>
        <v>0</v>
      </c>
      <c r="U11" s="28">
        <f t="shared" si="5"/>
        <v>0</v>
      </c>
      <c r="V11" s="28">
        <f t="shared" si="6"/>
        <v>18000</v>
      </c>
      <c r="W11" s="31">
        <f t="shared" si="9"/>
        <v>124567</v>
      </c>
      <c r="X11" s="32">
        <f t="shared" si="7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8"/>
        <v>120967</v>
      </c>
      <c r="M12" s="29"/>
      <c r="N12" s="799"/>
      <c r="O12" s="30">
        <f t="shared" si="1"/>
        <v>2.1232048597800125E-2</v>
      </c>
      <c r="P12" s="802"/>
      <c r="Q12" s="31">
        <f t="shared" si="2"/>
        <v>0</v>
      </c>
      <c r="R12" s="31">
        <v>0</v>
      </c>
      <c r="S12" s="28">
        <f t="shared" si="3"/>
        <v>3600</v>
      </c>
      <c r="T12" s="28">
        <f t="shared" si="4"/>
        <v>0</v>
      </c>
      <c r="U12" s="28">
        <f t="shared" si="5"/>
        <v>0</v>
      </c>
      <c r="V12" s="28">
        <f t="shared" si="6"/>
        <v>3600</v>
      </c>
      <c r="W12" s="31">
        <f t="shared" si="9"/>
        <v>120967</v>
      </c>
      <c r="X12" s="32">
        <f t="shared" si="7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8"/>
        <v>114967</v>
      </c>
      <c r="M13" s="29"/>
      <c r="N13" s="799"/>
      <c r="O13" s="30">
        <f t="shared" si="1"/>
        <v>3.5386747663000206E-2</v>
      </c>
      <c r="P13" s="802"/>
      <c r="Q13" s="31">
        <f t="shared" si="2"/>
        <v>0</v>
      </c>
      <c r="R13" s="31">
        <v>0</v>
      </c>
      <c r="S13" s="28">
        <f t="shared" si="3"/>
        <v>6000</v>
      </c>
      <c r="T13" s="28">
        <f t="shared" si="4"/>
        <v>0</v>
      </c>
      <c r="U13" s="28">
        <f t="shared" si="5"/>
        <v>0</v>
      </c>
      <c r="V13" s="28">
        <f t="shared" si="6"/>
        <v>6000</v>
      </c>
      <c r="W13" s="31">
        <f t="shared" si="9"/>
        <v>114967</v>
      </c>
      <c r="X13" s="32">
        <f t="shared" si="7"/>
        <v>0</v>
      </c>
      <c r="Y13" s="14" t="s">
        <v>67</v>
      </c>
      <c r="Z13" s="67">
        <f>Z14/Z30</f>
        <v>498499.79560537456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3362</v>
      </c>
      <c r="I14" s="26">
        <v>0</v>
      </c>
      <c r="J14" s="26"/>
      <c r="K14" s="27">
        <f t="shared" si="0"/>
        <v>3362</v>
      </c>
      <c r="L14" s="28">
        <f t="shared" si="8"/>
        <v>111605</v>
      </c>
      <c r="M14" s="29"/>
      <c r="N14" s="799"/>
      <c r="O14" s="30">
        <f t="shared" si="1"/>
        <v>1.9828374273834447E-2</v>
      </c>
      <c r="P14" s="802"/>
      <c r="Q14" s="31">
        <f t="shared" si="2"/>
        <v>0</v>
      </c>
      <c r="R14" s="31">
        <v>0</v>
      </c>
      <c r="S14" s="28">
        <f t="shared" si="3"/>
        <v>3362</v>
      </c>
      <c r="T14" s="28">
        <f t="shared" si="4"/>
        <v>0</v>
      </c>
      <c r="U14" s="28">
        <f t="shared" si="5"/>
        <v>0</v>
      </c>
      <c r="V14" s="28">
        <f t="shared" si="6"/>
        <v>3362</v>
      </c>
      <c r="W14" s="31">
        <f t="shared" si="9"/>
        <v>111605</v>
      </c>
      <c r="X14" s="32">
        <f t="shared" si="7"/>
        <v>0</v>
      </c>
      <c r="Y14" s="14" t="s">
        <v>70</v>
      </c>
      <c r="Z14" s="67">
        <f>+Z10-(Z11+Z12)</f>
        <v>497117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6000</v>
      </c>
      <c r="I15" s="26"/>
      <c r="J15" s="26"/>
      <c r="K15" s="27">
        <f t="shared" si="0"/>
        <v>6000</v>
      </c>
      <c r="L15" s="28">
        <f t="shared" si="8"/>
        <v>105605</v>
      </c>
      <c r="M15" s="29"/>
      <c r="N15" s="799"/>
      <c r="O15" s="30">
        <f t="shared" si="1"/>
        <v>3.5386747663000206E-2</v>
      </c>
      <c r="P15" s="802"/>
      <c r="Q15" s="31">
        <f t="shared" si="2"/>
        <v>0</v>
      </c>
      <c r="R15" s="31">
        <v>0</v>
      </c>
      <c r="S15" s="28">
        <f t="shared" si="3"/>
        <v>6000</v>
      </c>
      <c r="T15" s="28">
        <f t="shared" si="4"/>
        <v>0</v>
      </c>
      <c r="U15" s="28">
        <f t="shared" si="5"/>
        <v>0</v>
      </c>
      <c r="V15" s="28">
        <f t="shared" si="6"/>
        <v>6000</v>
      </c>
      <c r="W15" s="31">
        <f t="shared" si="9"/>
        <v>105605</v>
      </c>
      <c r="X15" s="32">
        <f t="shared" si="7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/>
      <c r="I16" s="26"/>
      <c r="J16" s="26"/>
      <c r="K16" s="27">
        <f t="shared" si="0"/>
        <v>0</v>
      </c>
      <c r="L16" s="28">
        <f t="shared" si="8"/>
        <v>105605</v>
      </c>
      <c r="M16" s="29"/>
      <c r="N16" s="799"/>
      <c r="O16" s="30">
        <f t="shared" si="1"/>
        <v>0</v>
      </c>
      <c r="P16" s="802"/>
      <c r="Q16" s="31">
        <v>0</v>
      </c>
      <c r="R16" s="31">
        <v>0</v>
      </c>
      <c r="S16" s="28">
        <f t="shared" si="3"/>
        <v>0</v>
      </c>
      <c r="T16" s="28">
        <f t="shared" si="4"/>
        <v>0</v>
      </c>
      <c r="U16" s="28">
        <f t="shared" si="5"/>
        <v>0</v>
      </c>
      <c r="V16" s="28">
        <f t="shared" si="6"/>
        <v>0</v>
      </c>
      <c r="W16" s="31">
        <f t="shared" si="9"/>
        <v>105605</v>
      </c>
      <c r="X16" s="32">
        <f t="shared" si="7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3000</v>
      </c>
      <c r="J17" s="26"/>
      <c r="K17" s="27">
        <f t="shared" si="0"/>
        <v>3000</v>
      </c>
      <c r="L17" s="28">
        <f t="shared" si="8"/>
        <v>102605</v>
      </c>
      <c r="M17" s="29"/>
      <c r="N17" s="799"/>
      <c r="O17" s="30">
        <f t="shared" si="1"/>
        <v>1.7693373831500103E-2</v>
      </c>
      <c r="P17" s="802"/>
      <c r="Q17" s="31">
        <f t="shared" ref="Q17:Q29" si="10">IF($P$2=0,0,(-($P$2*O17)+K17)-K17)</f>
        <v>0</v>
      </c>
      <c r="R17" s="31">
        <v>0</v>
      </c>
      <c r="S17" s="28">
        <f t="shared" si="3"/>
        <v>0</v>
      </c>
      <c r="T17" s="28">
        <f t="shared" si="4"/>
        <v>3000</v>
      </c>
      <c r="U17" s="28">
        <f t="shared" si="5"/>
        <v>0</v>
      </c>
      <c r="V17" s="28">
        <f t="shared" si="6"/>
        <v>3000</v>
      </c>
      <c r="W17" s="31">
        <f t="shared" si="9"/>
        <v>102605</v>
      </c>
      <c r="X17" s="32">
        <f t="shared" si="7"/>
        <v>0</v>
      </c>
      <c r="AA17" s="35"/>
      <c r="AB17" s="790">
        <f>+Z61-Z24-((Z12+Z11)*0.43)</f>
        <v>-498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320</v>
      </c>
      <c r="J18" s="26"/>
      <c r="K18" s="27">
        <f t="shared" si="0"/>
        <v>320</v>
      </c>
      <c r="L18" s="28">
        <f t="shared" si="8"/>
        <v>102285</v>
      </c>
      <c r="M18" s="29"/>
      <c r="N18" s="799"/>
      <c r="O18" s="30"/>
      <c r="P18" s="802"/>
      <c r="Q18" s="31">
        <f t="shared" si="10"/>
        <v>0</v>
      </c>
      <c r="R18" s="31">
        <v>0</v>
      </c>
      <c r="S18" s="28">
        <f t="shared" si="3"/>
        <v>0</v>
      </c>
      <c r="T18" s="28">
        <f t="shared" si="4"/>
        <v>320</v>
      </c>
      <c r="U18" s="28">
        <f t="shared" si="5"/>
        <v>0</v>
      </c>
      <c r="V18" s="28">
        <f t="shared" si="6"/>
        <v>320</v>
      </c>
      <c r="W18" s="31">
        <f t="shared" si="9"/>
        <v>102285</v>
      </c>
      <c r="X18" s="32"/>
      <c r="Y18" s="14" t="s">
        <v>77</v>
      </c>
      <c r="Z18" s="71">
        <f>ROUND(Z14*0.43,0)</f>
        <v>213760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2680</v>
      </c>
      <c r="I19" s="26"/>
      <c r="J19" s="26"/>
      <c r="K19" s="27">
        <f t="shared" si="0"/>
        <v>2680</v>
      </c>
      <c r="L19" s="28">
        <f t="shared" si="8"/>
        <v>99605</v>
      </c>
      <c r="M19" s="29"/>
      <c r="N19" s="799"/>
      <c r="O19" s="30">
        <f>+K19/$N$2</f>
        <v>1.5806080622806758E-2</v>
      </c>
      <c r="P19" s="802"/>
      <c r="Q19" s="31">
        <f t="shared" si="10"/>
        <v>0</v>
      </c>
      <c r="R19" s="31">
        <v>0</v>
      </c>
      <c r="S19" s="28">
        <f t="shared" si="3"/>
        <v>2680</v>
      </c>
      <c r="T19" s="28">
        <f t="shared" si="4"/>
        <v>0</v>
      </c>
      <c r="U19" s="28">
        <f t="shared" si="5"/>
        <v>0</v>
      </c>
      <c r="V19" s="28">
        <f t="shared" si="6"/>
        <v>2680</v>
      </c>
      <c r="W19" s="31">
        <f t="shared" si="9"/>
        <v>99605</v>
      </c>
      <c r="X19" s="32">
        <f>W19-L19</f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8"/>
        <v>98105</v>
      </c>
      <c r="M20" s="29"/>
      <c r="N20" s="799"/>
      <c r="O20" s="30">
        <f>+K20/$N$2</f>
        <v>8.8466869157500516E-3</v>
      </c>
      <c r="P20" s="802"/>
      <c r="Q20" s="31">
        <f t="shared" si="10"/>
        <v>0</v>
      </c>
      <c r="R20" s="31">
        <v>0</v>
      </c>
      <c r="S20" s="28">
        <f t="shared" si="3"/>
        <v>1500</v>
      </c>
      <c r="T20" s="28">
        <f t="shared" si="4"/>
        <v>0</v>
      </c>
      <c r="U20" s="28">
        <f t="shared" si="5"/>
        <v>0</v>
      </c>
      <c r="V20" s="28">
        <f t="shared" si="6"/>
        <v>1500</v>
      </c>
      <c r="W20" s="31">
        <f t="shared" si="9"/>
        <v>98105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8"/>
        <v>98105</v>
      </c>
      <c r="M21" s="29"/>
      <c r="N21" s="799"/>
      <c r="O21" s="30"/>
      <c r="P21" s="802"/>
      <c r="Q21" s="31">
        <f t="shared" si="10"/>
        <v>0</v>
      </c>
      <c r="R21" s="31">
        <v>0</v>
      </c>
      <c r="S21" s="28">
        <f t="shared" si="3"/>
        <v>0</v>
      </c>
      <c r="T21" s="28">
        <f t="shared" si="4"/>
        <v>0</v>
      </c>
      <c r="U21" s="28">
        <f t="shared" si="5"/>
        <v>0</v>
      </c>
      <c r="V21" s="28">
        <f t="shared" si="6"/>
        <v>0</v>
      </c>
      <c r="W21" s="31">
        <f t="shared" si="9"/>
        <v>98105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8"/>
        <v>90605</v>
      </c>
      <c r="M22" s="29"/>
      <c r="N22" s="799"/>
      <c r="O22" s="30">
        <f>+K22/$N$2</f>
        <v>4.4233434578750258E-2</v>
      </c>
      <c r="P22" s="802"/>
      <c r="Q22" s="31">
        <f t="shared" si="10"/>
        <v>0</v>
      </c>
      <c r="R22" s="31">
        <v>0</v>
      </c>
      <c r="S22" s="28">
        <f t="shared" si="3"/>
        <v>7500</v>
      </c>
      <c r="T22" s="28">
        <f t="shared" si="4"/>
        <v>0</v>
      </c>
      <c r="U22" s="28">
        <f t="shared" si="5"/>
        <v>0</v>
      </c>
      <c r="V22" s="28">
        <f t="shared" si="6"/>
        <v>7500</v>
      </c>
      <c r="W22" s="31">
        <f t="shared" si="9"/>
        <v>90605</v>
      </c>
      <c r="X22" s="32">
        <f>W22-L22</f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8"/>
        <v>90605</v>
      </c>
      <c r="M23" s="29"/>
      <c r="N23" s="799"/>
      <c r="O23" s="30"/>
      <c r="P23" s="802"/>
      <c r="Q23" s="31">
        <f t="shared" si="10"/>
        <v>0</v>
      </c>
      <c r="R23" s="31"/>
      <c r="S23" s="28">
        <f t="shared" si="3"/>
        <v>0</v>
      </c>
      <c r="T23" s="28">
        <f t="shared" si="4"/>
        <v>0</v>
      </c>
      <c r="U23" s="28">
        <f t="shared" si="5"/>
        <v>0</v>
      </c>
      <c r="V23" s="28">
        <f t="shared" si="6"/>
        <v>0</v>
      </c>
      <c r="W23" s="31">
        <f t="shared" si="9"/>
        <v>90605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8"/>
        <v>90605</v>
      </c>
      <c r="M24" s="29"/>
      <c r="N24" s="799"/>
      <c r="O24" s="30">
        <f t="shared" ref="O24:O29" si="11">+K24/$N$2</f>
        <v>0</v>
      </c>
      <c r="P24" s="802"/>
      <c r="Q24" s="31">
        <f t="shared" si="10"/>
        <v>0</v>
      </c>
      <c r="R24" s="31">
        <v>0</v>
      </c>
      <c r="S24" s="28">
        <f t="shared" si="3"/>
        <v>0</v>
      </c>
      <c r="T24" s="28">
        <f t="shared" si="4"/>
        <v>0</v>
      </c>
      <c r="U24" s="28">
        <f t="shared" si="5"/>
        <v>0</v>
      </c>
      <c r="V24" s="28">
        <f t="shared" si="6"/>
        <v>0</v>
      </c>
      <c r="W24" s="31">
        <f t="shared" si="9"/>
        <v>90605</v>
      </c>
      <c r="X24" s="32">
        <f t="shared" ref="X24:X39" si="12">W24-L24</f>
        <v>0</v>
      </c>
      <c r="Y24" s="74" t="s">
        <v>169</v>
      </c>
      <c r="Z24" s="680">
        <f>+Z18+Z19</f>
        <v>213760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8"/>
        <v>78605</v>
      </c>
      <c r="M25" s="29"/>
      <c r="N25" s="799"/>
      <c r="O25" s="30">
        <f t="shared" si="11"/>
        <v>7.0773495326000413E-2</v>
      </c>
      <c r="P25" s="802"/>
      <c r="Q25" s="31">
        <f t="shared" si="10"/>
        <v>0</v>
      </c>
      <c r="R25" s="31"/>
      <c r="S25" s="28">
        <f t="shared" si="3"/>
        <v>12000</v>
      </c>
      <c r="T25" s="28">
        <f t="shared" si="4"/>
        <v>0</v>
      </c>
      <c r="U25" s="28">
        <f t="shared" si="5"/>
        <v>0</v>
      </c>
      <c r="V25" s="28">
        <f t="shared" si="6"/>
        <v>12000</v>
      </c>
      <c r="W25" s="31">
        <f t="shared" si="9"/>
        <v>78605</v>
      </c>
      <c r="X25" s="32">
        <f t="shared" si="12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8"/>
        <v>44205</v>
      </c>
      <c r="M26" s="86"/>
      <c r="N26" s="800"/>
      <c r="O26" s="87">
        <f t="shared" si="11"/>
        <v>0.2028840199345345</v>
      </c>
      <c r="P26" s="803"/>
      <c r="Q26" s="144">
        <f t="shared" si="10"/>
        <v>0</v>
      </c>
      <c r="R26" s="144"/>
      <c r="S26" s="423">
        <f t="shared" si="3"/>
        <v>0</v>
      </c>
      <c r="T26" s="423">
        <f t="shared" si="4"/>
        <v>0</v>
      </c>
      <c r="U26" s="423">
        <f t="shared" si="5"/>
        <v>34400</v>
      </c>
      <c r="V26" s="423">
        <f t="shared" si="6"/>
        <v>34400</v>
      </c>
      <c r="W26" s="144">
        <f t="shared" si="9"/>
        <v>44205</v>
      </c>
      <c r="X26" s="32">
        <f t="shared" si="12"/>
        <v>0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8"/>
        <v>44205</v>
      </c>
      <c r="M27" s="95"/>
      <c r="N27" s="804">
        <f>SUM(K27:K49)</f>
        <v>41707</v>
      </c>
      <c r="O27" s="96">
        <f t="shared" si="11"/>
        <v>0</v>
      </c>
      <c r="P27" s="805"/>
      <c r="Q27" s="97">
        <f t="shared" si="10"/>
        <v>0</v>
      </c>
      <c r="R27" s="157"/>
      <c r="S27" s="422">
        <f t="shared" si="3"/>
        <v>0</v>
      </c>
      <c r="T27" s="422">
        <f t="shared" si="4"/>
        <v>0</v>
      </c>
      <c r="U27" s="422">
        <f t="shared" si="5"/>
        <v>0</v>
      </c>
      <c r="V27" s="422">
        <f t="shared" si="6"/>
        <v>0</v>
      </c>
      <c r="W27" s="97">
        <f t="shared" si="9"/>
        <v>44205</v>
      </c>
      <c r="X27" s="32">
        <f t="shared" si="12"/>
        <v>0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8"/>
        <v>44205</v>
      </c>
      <c r="M28" s="29"/>
      <c r="N28" s="799"/>
      <c r="O28" s="30">
        <f t="shared" si="11"/>
        <v>0</v>
      </c>
      <c r="P28" s="802"/>
      <c r="Q28" s="31">
        <f t="shared" si="10"/>
        <v>0</v>
      </c>
      <c r="R28" s="31"/>
      <c r="S28" s="28">
        <f t="shared" si="3"/>
        <v>0</v>
      </c>
      <c r="T28" s="28">
        <f t="shared" si="4"/>
        <v>0</v>
      </c>
      <c r="U28" s="28">
        <f t="shared" si="5"/>
        <v>0</v>
      </c>
      <c r="V28" s="28">
        <f t="shared" si="6"/>
        <v>0</v>
      </c>
      <c r="W28" s="31">
        <f t="shared" si="9"/>
        <v>44205</v>
      </c>
      <c r="X28" s="32">
        <f t="shared" si="12"/>
        <v>0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8"/>
        <v>44205</v>
      </c>
      <c r="M29" s="29"/>
      <c r="N29" s="799"/>
      <c r="O29" s="30">
        <f t="shared" si="11"/>
        <v>0</v>
      </c>
      <c r="P29" s="802"/>
      <c r="Q29" s="31">
        <f t="shared" si="10"/>
        <v>0</v>
      </c>
      <c r="R29" s="31"/>
      <c r="S29" s="28">
        <f t="shared" si="3"/>
        <v>0</v>
      </c>
      <c r="T29" s="28">
        <f t="shared" si="4"/>
        <v>0</v>
      </c>
      <c r="U29" s="28">
        <f t="shared" si="5"/>
        <v>0</v>
      </c>
      <c r="V29" s="28">
        <f t="shared" si="6"/>
        <v>0</v>
      </c>
      <c r="W29" s="31">
        <f t="shared" si="9"/>
        <v>44205</v>
      </c>
      <c r="X29" s="32">
        <f t="shared" si="12"/>
        <v>0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8"/>
        <v>44205</v>
      </c>
      <c r="M30" s="29"/>
      <c r="N30" s="799"/>
      <c r="O30" s="30">
        <f t="shared" ref="O30:O39" si="13">+K30/$N$27</f>
        <v>0</v>
      </c>
      <c r="P30" s="802"/>
      <c r="Q30" s="31">
        <f t="shared" ref="Q30:Q39" si="14">IF($P$30=0,0,(-($P$30*O30)+K30)-K30)</f>
        <v>0</v>
      </c>
      <c r="R30" s="31"/>
      <c r="S30" s="28">
        <f t="shared" si="3"/>
        <v>0</v>
      </c>
      <c r="T30" s="28">
        <f t="shared" si="4"/>
        <v>0</v>
      </c>
      <c r="U30" s="28">
        <f t="shared" si="5"/>
        <v>0</v>
      </c>
      <c r="V30" s="28">
        <f t="shared" si="6"/>
        <v>0</v>
      </c>
      <c r="W30" s="31">
        <f t="shared" si="9"/>
        <v>44205</v>
      </c>
      <c r="X30" s="32">
        <f t="shared" si="12"/>
        <v>0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8"/>
        <v>44205</v>
      </c>
      <c r="M31" s="29"/>
      <c r="N31" s="799"/>
      <c r="O31" s="30">
        <f t="shared" si="13"/>
        <v>0</v>
      </c>
      <c r="P31" s="802"/>
      <c r="Q31" s="31">
        <f t="shared" si="14"/>
        <v>0</v>
      </c>
      <c r="R31" s="31"/>
      <c r="S31" s="28">
        <f t="shared" si="3"/>
        <v>0</v>
      </c>
      <c r="T31" s="28">
        <f t="shared" si="4"/>
        <v>0</v>
      </c>
      <c r="U31" s="28">
        <f t="shared" si="5"/>
        <v>0</v>
      </c>
      <c r="V31" s="28">
        <f t="shared" si="6"/>
        <v>0</v>
      </c>
      <c r="W31" s="31">
        <f t="shared" si="9"/>
        <v>44205</v>
      </c>
      <c r="X31" s="32">
        <f t="shared" si="12"/>
        <v>0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8"/>
        <v>44205</v>
      </c>
      <c r="M32" s="29"/>
      <c r="N32" s="799"/>
      <c r="O32" s="30">
        <f t="shared" si="13"/>
        <v>0</v>
      </c>
      <c r="P32" s="802"/>
      <c r="Q32" s="31">
        <f t="shared" si="14"/>
        <v>0</v>
      </c>
      <c r="R32" s="31"/>
      <c r="S32" s="28">
        <f t="shared" si="3"/>
        <v>0</v>
      </c>
      <c r="T32" s="28">
        <f t="shared" si="4"/>
        <v>0</v>
      </c>
      <c r="U32" s="28">
        <f t="shared" si="5"/>
        <v>0</v>
      </c>
      <c r="V32" s="28">
        <f t="shared" si="6"/>
        <v>0</v>
      </c>
      <c r="W32" s="31">
        <f t="shared" si="9"/>
        <v>44205</v>
      </c>
      <c r="X32" s="32">
        <f t="shared" si="12"/>
        <v>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8"/>
        <v>44205</v>
      </c>
      <c r="M33" s="29"/>
      <c r="N33" s="799"/>
      <c r="O33" s="30">
        <f t="shared" si="13"/>
        <v>0</v>
      </c>
      <c r="P33" s="802"/>
      <c r="Q33" s="31">
        <f t="shared" si="14"/>
        <v>0</v>
      </c>
      <c r="R33" s="31"/>
      <c r="S33" s="28">
        <f t="shared" si="3"/>
        <v>0</v>
      </c>
      <c r="T33" s="28">
        <f t="shared" si="4"/>
        <v>0</v>
      </c>
      <c r="U33" s="28">
        <f t="shared" si="5"/>
        <v>0</v>
      </c>
      <c r="V33" s="28">
        <f t="shared" si="6"/>
        <v>0</v>
      </c>
      <c r="W33" s="31">
        <f t="shared" si="9"/>
        <v>44205</v>
      </c>
      <c r="X33" s="32">
        <f t="shared" si="12"/>
        <v>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8"/>
        <v>44205</v>
      </c>
      <c r="M34" s="29"/>
      <c r="N34" s="799"/>
      <c r="O34" s="30">
        <f t="shared" si="13"/>
        <v>0</v>
      </c>
      <c r="P34" s="802"/>
      <c r="Q34" s="31">
        <f t="shared" si="14"/>
        <v>0</v>
      </c>
      <c r="R34" s="31"/>
      <c r="S34" s="28">
        <f t="shared" si="3"/>
        <v>0</v>
      </c>
      <c r="T34" s="28">
        <f t="shared" si="4"/>
        <v>0</v>
      </c>
      <c r="U34" s="28">
        <f t="shared" si="5"/>
        <v>0</v>
      </c>
      <c r="V34" s="28">
        <f t="shared" si="6"/>
        <v>0</v>
      </c>
      <c r="W34" s="31">
        <f t="shared" si="9"/>
        <v>44205</v>
      </c>
      <c r="X34" s="32">
        <f t="shared" si="12"/>
        <v>0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8"/>
        <v>44205</v>
      </c>
      <c r="M35" s="29"/>
      <c r="N35" s="799"/>
      <c r="O35" s="30">
        <f t="shared" si="13"/>
        <v>0</v>
      </c>
      <c r="P35" s="802"/>
      <c r="Q35" s="31">
        <f t="shared" si="14"/>
        <v>0</v>
      </c>
      <c r="R35" s="31"/>
      <c r="S35" s="28">
        <f t="shared" si="3"/>
        <v>0</v>
      </c>
      <c r="T35" s="28">
        <f t="shared" si="4"/>
        <v>0</v>
      </c>
      <c r="U35" s="28">
        <f t="shared" si="5"/>
        <v>0</v>
      </c>
      <c r="V35" s="28">
        <f t="shared" si="6"/>
        <v>0</v>
      </c>
      <c r="W35" s="31">
        <f t="shared" si="9"/>
        <v>44205</v>
      </c>
      <c r="X35" s="32">
        <f t="shared" si="12"/>
        <v>0</v>
      </c>
      <c r="Y35" s="117" t="s">
        <v>56</v>
      </c>
      <c r="Z35" s="113">
        <f>Z34*43%</f>
        <v>34400</v>
      </c>
      <c r="AA35" s="113">
        <f>AD4-Z35</f>
        <v>0</v>
      </c>
      <c r="AB35" s="113">
        <f>Z35+AA35</f>
        <v>34400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8"/>
        <v>44205</v>
      </c>
      <c r="M36" s="29"/>
      <c r="N36" s="799"/>
      <c r="O36" s="30">
        <f t="shared" si="13"/>
        <v>0</v>
      </c>
      <c r="P36" s="802"/>
      <c r="Q36" s="31">
        <f t="shared" si="14"/>
        <v>0</v>
      </c>
      <c r="R36" s="31"/>
      <c r="S36" s="28">
        <f t="shared" si="3"/>
        <v>0</v>
      </c>
      <c r="T36" s="28">
        <f t="shared" si="4"/>
        <v>0</v>
      </c>
      <c r="U36" s="28">
        <f t="shared" si="5"/>
        <v>0</v>
      </c>
      <c r="V36" s="28">
        <f t="shared" si="6"/>
        <v>0</v>
      </c>
      <c r="W36" s="31">
        <f t="shared" si="9"/>
        <v>44205</v>
      </c>
      <c r="X36" s="32">
        <f t="shared" si="12"/>
        <v>0</v>
      </c>
      <c r="Y36" s="117" t="s">
        <v>60</v>
      </c>
      <c r="Z36" s="113">
        <f>Z34*57%</f>
        <v>45599.999999999993</v>
      </c>
      <c r="AA36" s="113">
        <f>AD3-Z36</f>
        <v>0</v>
      </c>
      <c r="AB36" s="113">
        <f>Z36+AA36</f>
        <v>45599.999999999993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8"/>
        <v>44205</v>
      </c>
      <c r="M37" s="29"/>
      <c r="N37" s="799"/>
      <c r="O37" s="30">
        <f t="shared" si="13"/>
        <v>0</v>
      </c>
      <c r="P37" s="802"/>
      <c r="Q37" s="31">
        <f t="shared" si="14"/>
        <v>0</v>
      </c>
      <c r="R37" s="31"/>
      <c r="S37" s="28">
        <f t="shared" si="3"/>
        <v>0</v>
      </c>
      <c r="T37" s="28">
        <f t="shared" si="4"/>
        <v>0</v>
      </c>
      <c r="U37" s="28">
        <f t="shared" si="5"/>
        <v>0</v>
      </c>
      <c r="V37" s="28">
        <f t="shared" si="6"/>
        <v>0</v>
      </c>
      <c r="W37" s="31">
        <f t="shared" si="9"/>
        <v>44205</v>
      </c>
      <c r="X37" s="32">
        <f t="shared" si="12"/>
        <v>0</v>
      </c>
      <c r="Y37" s="117" t="s">
        <v>94</v>
      </c>
      <c r="Z37" s="113">
        <f>+Z35+Z36</f>
        <v>80000</v>
      </c>
      <c r="AA37" s="113">
        <f>SUM(AA35:AA36)</f>
        <v>0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518"/>
      <c r="J38" s="26"/>
      <c r="K38" s="27">
        <f t="shared" si="0"/>
        <v>11207</v>
      </c>
      <c r="L38" s="28">
        <f t="shared" si="8"/>
        <v>32998</v>
      </c>
      <c r="M38" s="29"/>
      <c r="N38" s="799"/>
      <c r="O38" s="30">
        <f t="shared" si="13"/>
        <v>0.26870789076174262</v>
      </c>
      <c r="P38" s="802"/>
      <c r="Q38" s="31">
        <f t="shared" si="14"/>
        <v>0</v>
      </c>
      <c r="R38" s="31"/>
      <c r="S38" s="28">
        <f t="shared" si="3"/>
        <v>11207</v>
      </c>
      <c r="T38" s="28">
        <f t="shared" si="4"/>
        <v>0</v>
      </c>
      <c r="U38" s="28">
        <f t="shared" si="5"/>
        <v>0</v>
      </c>
      <c r="V38" s="28">
        <f t="shared" si="6"/>
        <v>11207</v>
      </c>
      <c r="W38" s="31">
        <f t="shared" si="9"/>
        <v>32998</v>
      </c>
      <c r="X38" s="32">
        <f t="shared" si="12"/>
        <v>0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 t="shared" si="8"/>
        <v>32998</v>
      </c>
      <c r="M39" s="29"/>
      <c r="N39" s="799"/>
      <c r="O39" s="30">
        <f t="shared" si="13"/>
        <v>0</v>
      </c>
      <c r="P39" s="802"/>
      <c r="Q39" s="31">
        <f t="shared" si="14"/>
        <v>0</v>
      </c>
      <c r="R39" s="31"/>
      <c r="S39" s="28">
        <f t="shared" si="3"/>
        <v>0</v>
      </c>
      <c r="T39" s="28">
        <f t="shared" si="4"/>
        <v>0</v>
      </c>
      <c r="U39" s="28">
        <f t="shared" si="5"/>
        <v>0</v>
      </c>
      <c r="V39" s="28">
        <f t="shared" si="6"/>
        <v>0</v>
      </c>
      <c r="W39" s="31">
        <f t="shared" si="9"/>
        <v>32998</v>
      </c>
      <c r="X39" s="32">
        <f t="shared" si="12"/>
        <v>0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8"/>
        <v>32998</v>
      </c>
      <c r="M40" s="29"/>
      <c r="N40" s="799"/>
      <c r="O40" s="30"/>
      <c r="P40" s="802"/>
      <c r="Q40" s="31"/>
      <c r="R40" s="31"/>
      <c r="S40" s="28">
        <f t="shared" si="3"/>
        <v>0</v>
      </c>
      <c r="T40" s="28">
        <f t="shared" si="4"/>
        <v>0</v>
      </c>
      <c r="U40" s="28">
        <f t="shared" si="5"/>
        <v>0</v>
      </c>
      <c r="V40" s="28">
        <f t="shared" si="6"/>
        <v>0</v>
      </c>
      <c r="W40" s="31">
        <f t="shared" si="9"/>
        <v>32998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75</v>
      </c>
      <c r="G41" s="101" t="s">
        <v>76</v>
      </c>
      <c r="H41" s="518">
        <v>5500</v>
      </c>
      <c r="I41" s="26"/>
      <c r="J41" s="26"/>
      <c r="K41" s="27">
        <f t="shared" si="0"/>
        <v>5500</v>
      </c>
      <c r="L41" s="28">
        <f t="shared" si="8"/>
        <v>27498</v>
      </c>
      <c r="M41" s="29"/>
      <c r="N41" s="799"/>
      <c r="O41" s="30">
        <f t="shared" ref="O41:O47" si="15">+K41/$N$27</f>
        <v>0.13187234756755462</v>
      </c>
      <c r="P41" s="802"/>
      <c r="Q41" s="31">
        <f t="shared" ref="Q41:Q57" si="16">IF($P$30=0,0,(-($P$30*O41)+K41)-K41)</f>
        <v>0</v>
      </c>
      <c r="R41" s="31"/>
      <c r="S41" s="28">
        <f t="shared" si="3"/>
        <v>5500</v>
      </c>
      <c r="T41" s="28">
        <f t="shared" si="4"/>
        <v>0</v>
      </c>
      <c r="U41" s="28">
        <f t="shared" si="5"/>
        <v>0</v>
      </c>
      <c r="V41" s="28">
        <f t="shared" si="6"/>
        <v>5500</v>
      </c>
      <c r="W41" s="31">
        <f t="shared" si="9"/>
        <v>27498</v>
      </c>
      <c r="X41" s="32">
        <f t="shared" ref="X41:X47" si="17">W41-L41</f>
        <v>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15000</v>
      </c>
      <c r="I42" s="26"/>
      <c r="J42" s="26"/>
      <c r="K42" s="27">
        <f t="shared" si="0"/>
        <v>15000</v>
      </c>
      <c r="L42" s="28">
        <f t="shared" si="8"/>
        <v>12498</v>
      </c>
      <c r="M42" s="29"/>
      <c r="N42" s="799"/>
      <c r="O42" s="30">
        <f t="shared" si="15"/>
        <v>0.35965185700242164</v>
      </c>
      <c r="P42" s="802"/>
      <c r="Q42" s="31">
        <f t="shared" si="16"/>
        <v>0</v>
      </c>
      <c r="R42" s="31"/>
      <c r="S42" s="28">
        <f t="shared" si="3"/>
        <v>15000</v>
      </c>
      <c r="T42" s="28">
        <f t="shared" si="4"/>
        <v>0</v>
      </c>
      <c r="U42" s="28">
        <f t="shared" si="5"/>
        <v>0</v>
      </c>
      <c r="V42" s="28">
        <f t="shared" si="6"/>
        <v>15000</v>
      </c>
      <c r="W42" s="31">
        <f t="shared" si="9"/>
        <v>12498</v>
      </c>
      <c r="X42" s="32">
        <f t="shared" si="17"/>
        <v>0</v>
      </c>
      <c r="Y42" s="74" t="s">
        <v>96</v>
      </c>
      <c r="Z42" s="75">
        <v>35500</v>
      </c>
      <c r="AA42" s="129">
        <f>+H7+H8+H17+H18+H19+H22+H32+H33+H43+H44+H45+H53</f>
        <v>28617</v>
      </c>
      <c r="AB42" s="129">
        <f>+I7+I8+I17+I18+I19+I22+I32+I33+I43+I44+I45+I53</f>
        <v>7383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8"/>
        <v>12498</v>
      </c>
      <c r="M43" s="29"/>
      <c r="N43" s="799"/>
      <c r="O43" s="30">
        <f t="shared" si="15"/>
        <v>0</v>
      </c>
      <c r="P43" s="802"/>
      <c r="Q43" s="31">
        <f t="shared" si="16"/>
        <v>0</v>
      </c>
      <c r="R43" s="31"/>
      <c r="S43" s="28">
        <f t="shared" si="3"/>
        <v>0</v>
      </c>
      <c r="T43" s="28">
        <f t="shared" si="4"/>
        <v>0</v>
      </c>
      <c r="U43" s="28">
        <f t="shared" si="5"/>
        <v>0</v>
      </c>
      <c r="V43" s="28">
        <f t="shared" si="6"/>
        <v>0</v>
      </c>
      <c r="W43" s="31">
        <f t="shared" si="9"/>
        <v>12498</v>
      </c>
      <c r="X43" s="32">
        <f t="shared" si="17"/>
        <v>0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8"/>
        <v>12498</v>
      </c>
      <c r="M44" s="29"/>
      <c r="N44" s="799"/>
      <c r="O44" s="30">
        <f t="shared" si="15"/>
        <v>0</v>
      </c>
      <c r="P44" s="802"/>
      <c r="Q44" s="31">
        <f t="shared" si="16"/>
        <v>0</v>
      </c>
      <c r="R44" s="31"/>
      <c r="S44" s="28">
        <f t="shared" si="3"/>
        <v>0</v>
      </c>
      <c r="T44" s="28">
        <f t="shared" si="4"/>
        <v>0</v>
      </c>
      <c r="U44" s="28">
        <f t="shared" si="5"/>
        <v>0</v>
      </c>
      <c r="V44" s="28">
        <f t="shared" si="6"/>
        <v>0</v>
      </c>
      <c r="W44" s="31">
        <f t="shared" si="9"/>
        <v>12498</v>
      </c>
      <c r="X44" s="32">
        <f t="shared" si="17"/>
        <v>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8"/>
        <v>12498</v>
      </c>
      <c r="M45" s="29"/>
      <c r="N45" s="799"/>
      <c r="O45" s="30">
        <f t="shared" si="15"/>
        <v>0</v>
      </c>
      <c r="P45" s="802"/>
      <c r="Q45" s="31">
        <f t="shared" si="16"/>
        <v>0</v>
      </c>
      <c r="R45" s="31"/>
      <c r="S45" s="28">
        <f t="shared" si="3"/>
        <v>0</v>
      </c>
      <c r="T45" s="28">
        <f t="shared" si="4"/>
        <v>0</v>
      </c>
      <c r="U45" s="28">
        <f t="shared" si="5"/>
        <v>0</v>
      </c>
      <c r="V45" s="28">
        <f t="shared" si="6"/>
        <v>0</v>
      </c>
      <c r="W45" s="31">
        <f t="shared" si="9"/>
        <v>12498</v>
      </c>
      <c r="X45" s="32">
        <f t="shared" si="17"/>
        <v>0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 t="shared" si="8"/>
        <v>2498</v>
      </c>
      <c r="M46" s="29"/>
      <c r="N46" s="799"/>
      <c r="O46" s="30">
        <f t="shared" si="15"/>
        <v>0.2397679046682811</v>
      </c>
      <c r="P46" s="802"/>
      <c r="Q46" s="31">
        <f t="shared" si="16"/>
        <v>0</v>
      </c>
      <c r="R46" s="31">
        <v>0</v>
      </c>
      <c r="S46" s="28">
        <f t="shared" si="3"/>
        <v>10000</v>
      </c>
      <c r="T46" s="28">
        <f t="shared" si="4"/>
        <v>0</v>
      </c>
      <c r="U46" s="28">
        <f t="shared" si="5"/>
        <v>0</v>
      </c>
      <c r="V46" s="28">
        <f t="shared" si="6"/>
        <v>10000</v>
      </c>
      <c r="W46" s="31">
        <f t="shared" si="9"/>
        <v>2498</v>
      </c>
      <c r="X46" s="32">
        <f t="shared" si="17"/>
        <v>0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8"/>
        <v>2498</v>
      </c>
      <c r="M47" s="29"/>
      <c r="N47" s="799"/>
      <c r="O47" s="30">
        <f t="shared" si="15"/>
        <v>0</v>
      </c>
      <c r="P47" s="802"/>
      <c r="Q47" s="31">
        <f t="shared" si="16"/>
        <v>0</v>
      </c>
      <c r="R47" s="31"/>
      <c r="S47" s="28">
        <f t="shared" si="3"/>
        <v>0</v>
      </c>
      <c r="T47" s="28">
        <f t="shared" si="4"/>
        <v>0</v>
      </c>
      <c r="U47" s="28">
        <f t="shared" si="5"/>
        <v>0</v>
      </c>
      <c r="V47" s="28">
        <f t="shared" si="6"/>
        <v>0</v>
      </c>
      <c r="W47" s="31">
        <f t="shared" si="9"/>
        <v>2498</v>
      </c>
      <c r="X47" s="32">
        <f t="shared" si="17"/>
        <v>0</v>
      </c>
      <c r="Y47" s="57">
        <v>20000</v>
      </c>
      <c r="Z47" s="89">
        <v>4586</v>
      </c>
      <c r="AA47" s="35"/>
      <c r="AB47" s="57">
        <f>57000-AA60</f>
        <v>11400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8"/>
        <v>2498</v>
      </c>
      <c r="M48" s="136"/>
      <c r="N48" s="799"/>
      <c r="O48" s="137"/>
      <c r="P48" s="802"/>
      <c r="Q48" s="31">
        <f t="shared" si="16"/>
        <v>0</v>
      </c>
      <c r="R48" s="138"/>
      <c r="S48" s="28">
        <f t="shared" si="3"/>
        <v>0</v>
      </c>
      <c r="T48" s="28">
        <f t="shared" si="4"/>
        <v>0</v>
      </c>
      <c r="U48" s="28">
        <f t="shared" si="5"/>
        <v>0</v>
      </c>
      <c r="V48" s="28">
        <f t="shared" si="6"/>
        <v>0</v>
      </c>
      <c r="W48" s="31">
        <f t="shared" si="9"/>
        <v>2498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8"/>
        <v>2498</v>
      </c>
      <c r="M49" s="86"/>
      <c r="N49" s="800"/>
      <c r="O49" s="87">
        <f>+K49/$N$27</f>
        <v>0</v>
      </c>
      <c r="P49" s="803"/>
      <c r="Q49" s="144">
        <f t="shared" si="16"/>
        <v>0</v>
      </c>
      <c r="R49" s="144"/>
      <c r="S49" s="423">
        <f t="shared" si="3"/>
        <v>0</v>
      </c>
      <c r="T49" s="423">
        <f t="shared" si="4"/>
        <v>0</v>
      </c>
      <c r="U49" s="423">
        <f t="shared" si="5"/>
        <v>0</v>
      </c>
      <c r="V49" s="423">
        <f t="shared" si="6"/>
        <v>0</v>
      </c>
      <c r="W49" s="144">
        <f t="shared" si="9"/>
        <v>2498</v>
      </c>
      <c r="X49" s="32">
        <f>W49-L49</f>
        <v>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 t="shared" si="8"/>
        <v>2498</v>
      </c>
      <c r="M50" s="95"/>
      <c r="N50" s="804">
        <f>SUM(K50:K55)</f>
        <v>2000</v>
      </c>
      <c r="O50" s="96">
        <f>+K50/$N$27</f>
        <v>0</v>
      </c>
      <c r="P50" s="805"/>
      <c r="Q50" s="138">
        <f t="shared" si="16"/>
        <v>0</v>
      </c>
      <c r="R50" s="157">
        <f>K50*$P$50/SUM($K$50:$K$55)-K50</f>
        <v>0</v>
      </c>
      <c r="S50" s="422">
        <f t="shared" si="3"/>
        <v>0</v>
      </c>
      <c r="T50" s="422">
        <f t="shared" si="4"/>
        <v>0</v>
      </c>
      <c r="U50" s="422">
        <f t="shared" si="5"/>
        <v>0</v>
      </c>
      <c r="V50" s="422">
        <f t="shared" si="6"/>
        <v>0</v>
      </c>
      <c r="W50" s="97">
        <f t="shared" si="9"/>
        <v>2498</v>
      </c>
      <c r="X50" s="32">
        <f>W50-L50</f>
        <v>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  <c r="AK50" s="51">
        <v>32700</v>
      </c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0"/>
        <v>0</v>
      </c>
      <c r="L51" s="28">
        <f t="shared" si="8"/>
        <v>2498</v>
      </c>
      <c r="M51" s="234"/>
      <c r="N51" s="799"/>
      <c r="O51" s="184"/>
      <c r="P51" s="802"/>
      <c r="Q51" s="138">
        <f t="shared" si="16"/>
        <v>0</v>
      </c>
      <c r="R51" s="31"/>
      <c r="S51" s="422">
        <f t="shared" si="3"/>
        <v>0</v>
      </c>
      <c r="T51" s="28">
        <f t="shared" si="4"/>
        <v>0</v>
      </c>
      <c r="U51" s="28">
        <f t="shared" si="5"/>
        <v>0</v>
      </c>
      <c r="V51" s="28">
        <f t="shared" si="6"/>
        <v>0</v>
      </c>
      <c r="W51" s="31">
        <f t="shared" si="9"/>
        <v>2498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  <c r="AJ51" s="20">
        <f>AL51*(24-10)/24</f>
        <v>57136</v>
      </c>
      <c r="AK51" s="50">
        <f>AD58-AK50</f>
        <v>57136</v>
      </c>
      <c r="AL51" s="50">
        <f>AK51/(24-10)*24</f>
        <v>97947.42857142858</v>
      </c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8"/>
        <v>2498</v>
      </c>
      <c r="M52" s="234"/>
      <c r="N52" s="799"/>
      <c r="O52" s="184"/>
      <c r="P52" s="802"/>
      <c r="Q52" s="31">
        <f t="shared" si="16"/>
        <v>0</v>
      </c>
      <c r="R52" s="97">
        <f>K52*$P$50/SUM($K$50:$K$55)-K52</f>
        <v>0</v>
      </c>
      <c r="S52" s="28">
        <f t="shared" si="3"/>
        <v>0</v>
      </c>
      <c r="T52" s="28">
        <f t="shared" si="4"/>
        <v>0</v>
      </c>
      <c r="U52" s="28">
        <f t="shared" si="5"/>
        <v>0</v>
      </c>
      <c r="V52" s="28">
        <f t="shared" si="6"/>
        <v>0</v>
      </c>
      <c r="W52" s="31">
        <f t="shared" si="9"/>
        <v>2498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518"/>
      <c r="J53" s="26"/>
      <c r="K53" s="27">
        <f t="shared" si="0"/>
        <v>2000</v>
      </c>
      <c r="L53" s="28">
        <f t="shared" si="8"/>
        <v>498</v>
      </c>
      <c r="M53" s="29"/>
      <c r="N53" s="799"/>
      <c r="O53" s="30">
        <f>+K53/$N$27</f>
        <v>4.7953580933656217E-2</v>
      </c>
      <c r="P53" s="802"/>
      <c r="Q53" s="97">
        <f t="shared" si="16"/>
        <v>0</v>
      </c>
      <c r="R53" s="31"/>
      <c r="S53" s="28">
        <f t="shared" si="3"/>
        <v>2000</v>
      </c>
      <c r="T53" s="28">
        <f t="shared" si="4"/>
        <v>0</v>
      </c>
      <c r="U53" s="28">
        <f t="shared" si="5"/>
        <v>0</v>
      </c>
      <c r="V53" s="28">
        <f t="shared" si="6"/>
        <v>2000</v>
      </c>
      <c r="W53" s="31">
        <f t="shared" si="9"/>
        <v>498</v>
      </c>
      <c r="X53" s="32">
        <f>W53-L53</f>
        <v>0</v>
      </c>
      <c r="Y53" s="80">
        <f>+Y52-15000</f>
        <v>-2513.5</v>
      </c>
      <c r="Z53" s="49">
        <f>+Z60-43000</f>
        <v>-8600</v>
      </c>
      <c r="AD53" s="322"/>
      <c r="AE53" s="153"/>
      <c r="AH53" s="18"/>
      <c r="AK53" s="20">
        <f>297521/24*10</f>
        <v>123967.08333333334</v>
      </c>
      <c r="AL53" s="53">
        <f>AD58</f>
        <v>89836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8"/>
        <v>498</v>
      </c>
      <c r="M54" s="29"/>
      <c r="N54" s="799"/>
      <c r="O54" s="30">
        <f>+K54/$N$27</f>
        <v>0</v>
      </c>
      <c r="P54" s="802"/>
      <c r="Q54" s="97">
        <f t="shared" si="16"/>
        <v>0</v>
      </c>
      <c r="R54" s="31">
        <f>K54*$P$50/SUM($K$50:$K$55)-K54</f>
        <v>0</v>
      </c>
      <c r="S54" s="28">
        <f t="shared" si="3"/>
        <v>0</v>
      </c>
      <c r="T54" s="28">
        <f t="shared" si="4"/>
        <v>0</v>
      </c>
      <c r="U54" s="28">
        <f t="shared" si="5"/>
        <v>0</v>
      </c>
      <c r="V54" s="28">
        <f t="shared" si="6"/>
        <v>0</v>
      </c>
      <c r="W54" s="31">
        <f t="shared" si="9"/>
        <v>498</v>
      </c>
      <c r="X54" s="32">
        <f>W54-L54</f>
        <v>0</v>
      </c>
      <c r="Y54" s="158"/>
      <c r="Z54" s="159"/>
      <c r="AA54" s="160"/>
      <c r="AB54" s="158"/>
      <c r="AC54" s="160"/>
      <c r="AD54" s="161"/>
      <c r="AE54" s="153"/>
      <c r="AH54" s="18"/>
      <c r="AK54" s="20">
        <f>(AD59+AJ59)/24*(24-10)</f>
        <v>186055.91666666669</v>
      </c>
      <c r="AL54" s="53">
        <f>AD59+AJ59</f>
        <v>318953</v>
      </c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8"/>
        <v>498</v>
      </c>
      <c r="M55" s="86"/>
      <c r="N55" s="800"/>
      <c r="O55" s="87">
        <f>+K55/$N$27</f>
        <v>0</v>
      </c>
      <c r="P55" s="803"/>
      <c r="Q55" s="97">
        <f t="shared" si="16"/>
        <v>0</v>
      </c>
      <c r="R55" s="31"/>
      <c r="S55" s="423">
        <f t="shared" si="3"/>
        <v>0</v>
      </c>
      <c r="T55" s="28">
        <f t="shared" si="4"/>
        <v>0</v>
      </c>
      <c r="U55" s="423">
        <f t="shared" si="5"/>
        <v>0</v>
      </c>
      <c r="V55" s="423">
        <f t="shared" si="6"/>
        <v>0</v>
      </c>
      <c r="W55" s="144">
        <f t="shared" si="9"/>
        <v>498</v>
      </c>
      <c r="X55" s="119">
        <f>W55-L55</f>
        <v>0</v>
      </c>
      <c r="Y55" s="807">
        <f ca="1">Z8</f>
        <v>41937</v>
      </c>
      <c r="Z55" s="808"/>
      <c r="AA55" s="808"/>
      <c r="AB55" s="808"/>
      <c r="AC55" s="808"/>
      <c r="AD55" s="809"/>
      <c r="AE55" s="20" t="s">
        <v>319</v>
      </c>
      <c r="AK55" s="20">
        <f>SUM(AK53:AK54)</f>
        <v>310023</v>
      </c>
      <c r="AL55" s="53">
        <f>AD60</f>
        <v>80000</v>
      </c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8"/>
        <v>498</v>
      </c>
      <c r="M56" s="804"/>
      <c r="N56" s="804">
        <f>SUM(K56:K80)</f>
        <v>0</v>
      </c>
      <c r="O56" s="96">
        <f>+K56/$N$27</f>
        <v>0</v>
      </c>
      <c r="P56" s="172"/>
      <c r="Q56" s="157">
        <f t="shared" si="16"/>
        <v>0</v>
      </c>
      <c r="R56" s="157">
        <v>0</v>
      </c>
      <c r="S56" s="422">
        <f t="shared" si="3"/>
        <v>0</v>
      </c>
      <c r="T56" s="157">
        <f t="shared" si="4"/>
        <v>0</v>
      </c>
      <c r="U56" s="422">
        <f t="shared" si="5"/>
        <v>0</v>
      </c>
      <c r="V56" s="422">
        <f t="shared" si="6"/>
        <v>0</v>
      </c>
      <c r="W56" s="97">
        <f t="shared" si="9"/>
        <v>498</v>
      </c>
      <c r="X56" s="119">
        <f>W56-L56</f>
        <v>0</v>
      </c>
      <c r="Y56" s="811" t="s">
        <v>186</v>
      </c>
      <c r="Z56" s="812"/>
      <c r="AA56" s="812"/>
      <c r="AB56" s="812"/>
      <c r="AC56" s="812"/>
      <c r="AD56" s="813"/>
      <c r="AE56" s="13">
        <v>18700</v>
      </c>
      <c r="AF56" s="17">
        <f>AG3</f>
        <v>15726</v>
      </c>
      <c r="AG56" s="20">
        <f>AF56/24*(24-9)</f>
        <v>9828.75</v>
      </c>
      <c r="AH56" s="53">
        <f>AG56+AC3</f>
        <v>169738.75</v>
      </c>
      <c r="AK56" s="53">
        <f>AD59-AK55</f>
        <v>1034</v>
      </c>
      <c r="AL56" s="53">
        <f>SUM(AL53:AL55)</f>
        <v>488789</v>
      </c>
      <c r="AM56" s="50">
        <f>AL55+AL54+AL51</f>
        <v>496900.42857142858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8"/>
        <v>498</v>
      </c>
      <c r="M57" s="800"/>
      <c r="N57" s="800"/>
      <c r="O57" s="87" t="e">
        <f t="shared" ref="O57:O80" si="18">+K57/$N$56</f>
        <v>#DIV/0!</v>
      </c>
      <c r="P57" s="328"/>
      <c r="Q57" s="448">
        <f t="shared" si="16"/>
        <v>0</v>
      </c>
      <c r="R57" s="144">
        <v>0</v>
      </c>
      <c r="S57" s="423">
        <f t="shared" si="3"/>
        <v>0</v>
      </c>
      <c r="T57" s="423">
        <f t="shared" si="4"/>
        <v>0</v>
      </c>
      <c r="U57" s="423">
        <f t="shared" si="5"/>
        <v>0</v>
      </c>
      <c r="V57" s="423">
        <f t="shared" si="6"/>
        <v>0</v>
      </c>
      <c r="W57" s="144">
        <f t="shared" si="9"/>
        <v>498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747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8"/>
        <v>498</v>
      </c>
      <c r="M58" s="148"/>
      <c r="N58" s="148"/>
      <c r="O58" s="184" t="e">
        <f t="shared" si="18"/>
        <v>#DIV/0!</v>
      </c>
      <c r="P58" s="171"/>
      <c r="Q58" s="97">
        <f t="shared" ref="Q58:Q81" si="19">IF($P$57=0,0,(-($P$57*O58)+K58)-K58)</f>
        <v>0</v>
      </c>
      <c r="R58" s="97"/>
      <c r="S58" s="422">
        <f t="shared" si="3"/>
        <v>0</v>
      </c>
      <c r="T58" s="422">
        <f t="shared" si="4"/>
        <v>0</v>
      </c>
      <c r="U58" s="422">
        <f t="shared" si="5"/>
        <v>0</v>
      </c>
      <c r="V58" s="422">
        <f t="shared" si="6"/>
        <v>0</v>
      </c>
      <c r="W58" s="97">
        <f t="shared" si="9"/>
        <v>498</v>
      </c>
      <c r="X58" s="408"/>
      <c r="Y58" s="180" t="s">
        <v>7</v>
      </c>
      <c r="Z58" s="181">
        <f>+AB4</f>
        <v>27715</v>
      </c>
      <c r="AA58" s="182">
        <f>+AB3</f>
        <v>62121</v>
      </c>
      <c r="AB58" s="182">
        <f>Z12</f>
        <v>0</v>
      </c>
      <c r="AC58" s="181">
        <f>AB10</f>
        <v>0</v>
      </c>
      <c r="AD58" s="661">
        <f>SUM(Z58:AC58)</f>
        <v>89836</v>
      </c>
      <c r="AE58" s="185">
        <v>102166</v>
      </c>
      <c r="AF58" s="17">
        <f>AE58-AD58</f>
        <v>12330</v>
      </c>
      <c r="AG58" s="17">
        <f>AA58-'Octubre 24'!AA58</f>
        <v>-17420</v>
      </c>
      <c r="AH58" s="53">
        <f>AD58-'Octubre 24'!AD58</f>
        <v>-17420</v>
      </c>
      <c r="AI58" s="50"/>
      <c r="AJ58" s="50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8"/>
        <v>498</v>
      </c>
      <c r="M59" s="148"/>
      <c r="N59" s="148"/>
      <c r="O59" s="30" t="e">
        <f t="shared" si="18"/>
        <v>#DIV/0!</v>
      </c>
      <c r="P59" s="171"/>
      <c r="Q59" s="31">
        <f t="shared" si="19"/>
        <v>0</v>
      </c>
      <c r="R59" s="31"/>
      <c r="S59" s="28">
        <f t="shared" si="3"/>
        <v>0</v>
      </c>
      <c r="T59" s="28">
        <f t="shared" si="4"/>
        <v>0</v>
      </c>
      <c r="U59" s="28">
        <f t="shared" si="5"/>
        <v>0</v>
      </c>
      <c r="V59" s="28">
        <f t="shared" si="6"/>
        <v>0</v>
      </c>
      <c r="W59" s="31">
        <f t="shared" si="9"/>
        <v>498</v>
      </c>
      <c r="X59" s="408"/>
      <c r="Y59" s="180" t="s">
        <v>17</v>
      </c>
      <c r="Z59" s="182">
        <f>+AC4</f>
        <v>151147</v>
      </c>
      <c r="AA59" s="182">
        <f>AC3</f>
        <v>159910</v>
      </c>
      <c r="AB59" s="182">
        <f>Z11</f>
        <v>0</v>
      </c>
      <c r="AC59" s="181">
        <v>0</v>
      </c>
      <c r="AD59" s="661">
        <f>SUM(Z59:AC59)</f>
        <v>311057</v>
      </c>
      <c r="AE59" s="185">
        <v>246817</v>
      </c>
      <c r="AF59" s="17">
        <f>AE59-AD59</f>
        <v>-64240</v>
      </c>
      <c r="AG59" s="51"/>
      <c r="AH59" s="19"/>
      <c r="AI59" s="758">
        <f>AA59-'Octubre 24 (2)'!AA59</f>
        <v>13536</v>
      </c>
      <c r="AJ59" s="50">
        <f>AI59/24*(24-10)</f>
        <v>7896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8"/>
        <v>498</v>
      </c>
      <c r="M60" s="148"/>
      <c r="N60" s="148"/>
      <c r="O60" s="30" t="e">
        <f t="shared" si="18"/>
        <v>#DIV/0!</v>
      </c>
      <c r="P60" s="171"/>
      <c r="Q60" s="31">
        <f t="shared" si="19"/>
        <v>0</v>
      </c>
      <c r="R60" s="31"/>
      <c r="S60" s="28">
        <f t="shared" si="3"/>
        <v>0</v>
      </c>
      <c r="T60" s="28">
        <f t="shared" si="4"/>
        <v>0</v>
      </c>
      <c r="U60" s="28">
        <f t="shared" si="5"/>
        <v>0</v>
      </c>
      <c r="V60" s="28">
        <f t="shared" si="6"/>
        <v>0</v>
      </c>
      <c r="W60" s="31">
        <f t="shared" si="9"/>
        <v>498</v>
      </c>
      <c r="X60" s="408"/>
      <c r="Y60" s="180" t="s">
        <v>112</v>
      </c>
      <c r="Z60" s="181">
        <f>+AD4+AH11</f>
        <v>34400</v>
      </c>
      <c r="AA60" s="182">
        <f>+AD3+AH10</f>
        <v>45600</v>
      </c>
      <c r="AB60" s="191">
        <v>0</v>
      </c>
      <c r="AC60" s="181">
        <v>0</v>
      </c>
      <c r="AD60" s="662">
        <f>SUM(Z60:AC60)</f>
        <v>80000</v>
      </c>
      <c r="AE60" s="185">
        <v>100343</v>
      </c>
      <c r="AF60" s="17">
        <f>AE60-AD60</f>
        <v>20343</v>
      </c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8"/>
        <v>498</v>
      </c>
      <c r="M61" s="148"/>
      <c r="N61" s="148"/>
      <c r="O61" s="30" t="e">
        <f t="shared" si="18"/>
        <v>#DIV/0!</v>
      </c>
      <c r="P61" s="171"/>
      <c r="Q61" s="31">
        <f t="shared" si="19"/>
        <v>0</v>
      </c>
      <c r="R61" s="31"/>
      <c r="S61" s="28">
        <f t="shared" si="3"/>
        <v>0</v>
      </c>
      <c r="T61" s="28">
        <f t="shared" si="4"/>
        <v>0</v>
      </c>
      <c r="U61" s="28">
        <f t="shared" si="5"/>
        <v>0</v>
      </c>
      <c r="V61" s="28">
        <f t="shared" si="6"/>
        <v>0</v>
      </c>
      <c r="W61" s="31">
        <f t="shared" si="9"/>
        <v>498</v>
      </c>
      <c r="X61" s="408"/>
      <c r="Y61" s="193" t="s">
        <v>113</v>
      </c>
      <c r="Z61" s="194">
        <f>SUM(Z58:Z60)</f>
        <v>213262</v>
      </c>
      <c r="AA61" s="194">
        <f>SUM(AA58:AA60)</f>
        <v>267631</v>
      </c>
      <c r="AB61" s="194">
        <f>SUM(AB58:AB60)</f>
        <v>0</v>
      </c>
      <c r="AC61" s="194">
        <f>AB10</f>
        <v>0</v>
      </c>
      <c r="AD61" s="195">
        <f>SUM(AD58:AD60)</f>
        <v>480893</v>
      </c>
      <c r="AE61" s="185">
        <f>AD61-AA68</f>
        <v>-16224.203827652324</v>
      </c>
      <c r="AF61" s="17">
        <f>SUM(AF58:AF60)</f>
        <v>-31567</v>
      </c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8"/>
        <v>498</v>
      </c>
      <c r="M62" s="148"/>
      <c r="N62" s="148"/>
      <c r="O62" s="30" t="e">
        <f t="shared" si="18"/>
        <v>#DIV/0!</v>
      </c>
      <c r="P62" s="171"/>
      <c r="Q62" s="31">
        <f t="shared" si="19"/>
        <v>0</v>
      </c>
      <c r="R62" s="31"/>
      <c r="S62" s="28">
        <f t="shared" si="3"/>
        <v>0</v>
      </c>
      <c r="T62" s="28">
        <f t="shared" si="4"/>
        <v>0</v>
      </c>
      <c r="U62" s="28">
        <f t="shared" si="5"/>
        <v>0</v>
      </c>
      <c r="V62" s="28">
        <f t="shared" si="6"/>
        <v>0</v>
      </c>
      <c r="W62" s="31">
        <f t="shared" si="9"/>
        <v>498</v>
      </c>
      <c r="X62" s="408"/>
      <c r="Y62" s="199" t="s">
        <v>114</v>
      </c>
      <c r="Z62" s="200">
        <f>(Z58/$Z$28+(Z59/$Z$27)+(Z60/$Z$29))</f>
        <v>213858.69851261511</v>
      </c>
      <c r="AA62" s="200">
        <f>(AA58/$Z$28+(AA59/$Z$27)+(AA60/$Z$29))</f>
        <v>268374.34142171138</v>
      </c>
      <c r="AB62" s="200">
        <f>(AB58/$Z$28)+(AB59/$Z$27)</f>
        <v>0</v>
      </c>
      <c r="AC62" s="200">
        <f>AB9</f>
        <v>0</v>
      </c>
      <c r="AD62" s="201">
        <f>(AD58/$Z$28+(AD59/$Z$27)+(AD60/$Z$29))</f>
        <v>482233.03993432649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8"/>
        <v>498</v>
      </c>
      <c r="M63" s="148"/>
      <c r="N63" s="148"/>
      <c r="O63" s="30" t="e">
        <f t="shared" si="18"/>
        <v>#DIV/0!</v>
      </c>
      <c r="P63" s="171"/>
      <c r="Q63" s="31">
        <f t="shared" si="19"/>
        <v>0</v>
      </c>
      <c r="R63" s="31"/>
      <c r="S63" s="28">
        <f t="shared" si="3"/>
        <v>0</v>
      </c>
      <c r="T63" s="28">
        <f t="shared" si="4"/>
        <v>0</v>
      </c>
      <c r="U63" s="28">
        <f t="shared" si="5"/>
        <v>0</v>
      </c>
      <c r="V63" s="28">
        <f t="shared" si="6"/>
        <v>0</v>
      </c>
      <c r="W63" s="31">
        <f t="shared" si="9"/>
        <v>498</v>
      </c>
      <c r="X63" s="408"/>
      <c r="Y63" s="368" t="s">
        <v>318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8"/>
        <v>498</v>
      </c>
      <c r="M64" s="148"/>
      <c r="N64" s="148"/>
      <c r="O64" s="30" t="e">
        <f t="shared" si="18"/>
        <v>#DIV/0!</v>
      </c>
      <c r="P64" s="171"/>
      <c r="Q64" s="31">
        <f t="shared" si="19"/>
        <v>0</v>
      </c>
      <c r="R64" s="31"/>
      <c r="S64" s="28">
        <f t="shared" si="3"/>
        <v>0</v>
      </c>
      <c r="T64" s="28">
        <f t="shared" si="4"/>
        <v>0</v>
      </c>
      <c r="U64" s="28">
        <f t="shared" si="5"/>
        <v>0</v>
      </c>
      <c r="V64" s="28">
        <f t="shared" si="6"/>
        <v>0</v>
      </c>
      <c r="W64" s="31">
        <f t="shared" si="9"/>
        <v>498</v>
      </c>
      <c r="X64" s="408"/>
      <c r="Y64" s="368" t="s">
        <v>317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8"/>
        <v>498</v>
      </c>
      <c r="M65" s="148"/>
      <c r="N65" s="148"/>
      <c r="O65" s="30" t="e">
        <f t="shared" si="18"/>
        <v>#DIV/0!</v>
      </c>
      <c r="P65" s="171"/>
      <c r="Q65" s="31">
        <f t="shared" si="19"/>
        <v>0</v>
      </c>
      <c r="R65" s="31"/>
      <c r="S65" s="28">
        <f t="shared" si="3"/>
        <v>0</v>
      </c>
      <c r="T65" s="28">
        <f t="shared" si="4"/>
        <v>0</v>
      </c>
      <c r="U65" s="28">
        <f t="shared" si="5"/>
        <v>0</v>
      </c>
      <c r="V65" s="28">
        <f t="shared" si="6"/>
        <v>0</v>
      </c>
      <c r="W65" s="31">
        <f t="shared" si="9"/>
        <v>498</v>
      </c>
      <c r="X65" s="408"/>
      <c r="Y65" s="371" t="s">
        <v>115</v>
      </c>
      <c r="Z65" s="484"/>
      <c r="AA65" s="203">
        <v>122289.80560000002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ref="K66:K103" si="20">SUM(H66:J66)</f>
        <v>0</v>
      </c>
      <c r="L66" s="28">
        <f t="shared" si="8"/>
        <v>498</v>
      </c>
      <c r="M66" s="148"/>
      <c r="N66" s="148"/>
      <c r="O66" s="30" t="e">
        <f t="shared" si="18"/>
        <v>#DIV/0!</v>
      </c>
      <c r="P66" s="171"/>
      <c r="Q66" s="31">
        <f t="shared" si="19"/>
        <v>0</v>
      </c>
      <c r="R66" s="31"/>
      <c r="S66" s="28">
        <f t="shared" ref="S66:S103" si="21">IF(H66&lt;&gt;0,+H66+Q66+R66,0)</f>
        <v>0</v>
      </c>
      <c r="T66" s="28">
        <f t="shared" ref="T66:T103" si="22">IF(I66&lt;&gt;0,+I66+Q66+R66,0)</f>
        <v>0</v>
      </c>
      <c r="U66" s="28">
        <f t="shared" ref="U66:U103" si="23">IF(J66&lt;&gt;0,+J66+Q66+R66,0)</f>
        <v>0</v>
      </c>
      <c r="V66" s="28">
        <f t="shared" ref="V66:V103" si="24">+S66+T66+U66</f>
        <v>0</v>
      </c>
      <c r="W66" s="31">
        <f t="shared" si="9"/>
        <v>498</v>
      </c>
      <c r="X66" s="408"/>
      <c r="Y66" s="814" t="s">
        <v>116</v>
      </c>
      <c r="Z66" s="815"/>
      <c r="AA66" s="203">
        <v>52014.378240000005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20"/>
        <v>0</v>
      </c>
      <c r="L67" s="28">
        <f t="shared" ref="L67:L103" si="25">+L66-K67</f>
        <v>498</v>
      </c>
      <c r="M67" s="148"/>
      <c r="N67" s="148"/>
      <c r="O67" s="30" t="e">
        <f t="shared" si="18"/>
        <v>#DIV/0!</v>
      </c>
      <c r="P67" s="171"/>
      <c r="Q67" s="31">
        <f t="shared" si="19"/>
        <v>0</v>
      </c>
      <c r="R67" s="31"/>
      <c r="S67" s="28">
        <f t="shared" si="21"/>
        <v>0</v>
      </c>
      <c r="T67" s="28">
        <f t="shared" si="22"/>
        <v>0</v>
      </c>
      <c r="U67" s="28">
        <f t="shared" si="23"/>
        <v>0</v>
      </c>
      <c r="V67" s="28">
        <f t="shared" si="24"/>
        <v>0</v>
      </c>
      <c r="W67" s="31">
        <f t="shared" ref="W67:W103" si="26">+W66-V67</f>
        <v>498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20"/>
        <v>0</v>
      </c>
      <c r="L68" s="28">
        <f t="shared" si="25"/>
        <v>498</v>
      </c>
      <c r="M68" s="148"/>
      <c r="N68" s="148"/>
      <c r="O68" s="30" t="e">
        <f t="shared" si="18"/>
        <v>#DIV/0!</v>
      </c>
      <c r="P68" s="171"/>
      <c r="Q68" s="31">
        <f t="shared" si="19"/>
        <v>0</v>
      </c>
      <c r="R68" s="31"/>
      <c r="S68" s="28">
        <f t="shared" si="21"/>
        <v>0</v>
      </c>
      <c r="T68" s="28">
        <f t="shared" si="22"/>
        <v>0</v>
      </c>
      <c r="U68" s="28">
        <f t="shared" si="23"/>
        <v>0</v>
      </c>
      <c r="V68" s="28">
        <f t="shared" si="24"/>
        <v>0</v>
      </c>
      <c r="W68" s="31">
        <f t="shared" si="26"/>
        <v>498</v>
      </c>
      <c r="X68" s="211"/>
      <c r="Y68" s="814" t="s">
        <v>188</v>
      </c>
      <c r="Z68" s="815"/>
      <c r="AA68" s="207">
        <f>Z9*Z30+AC61</f>
        <v>497117.20382765232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20"/>
        <v>0</v>
      </c>
      <c r="L69" s="28">
        <f t="shared" si="25"/>
        <v>498</v>
      </c>
      <c r="M69" s="148"/>
      <c r="N69" s="148"/>
      <c r="O69" s="30" t="e">
        <f t="shared" si="18"/>
        <v>#DIV/0!</v>
      </c>
      <c r="P69" s="171"/>
      <c r="Q69" s="31">
        <f t="shared" si="19"/>
        <v>0</v>
      </c>
      <c r="R69" s="31"/>
      <c r="S69" s="28">
        <f t="shared" si="21"/>
        <v>0</v>
      </c>
      <c r="T69" s="28">
        <f t="shared" si="22"/>
        <v>0</v>
      </c>
      <c r="U69" s="28">
        <f t="shared" si="23"/>
        <v>0</v>
      </c>
      <c r="V69" s="28">
        <f t="shared" si="24"/>
        <v>0</v>
      </c>
      <c r="W69" s="31">
        <f t="shared" si="26"/>
        <v>498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20"/>
        <v>0</v>
      </c>
      <c r="L70" s="28">
        <f t="shared" si="25"/>
        <v>498</v>
      </c>
      <c r="M70" s="148"/>
      <c r="N70" s="148"/>
      <c r="O70" s="30" t="e">
        <f t="shared" si="18"/>
        <v>#DIV/0!</v>
      </c>
      <c r="P70" s="171"/>
      <c r="Q70" s="31">
        <f t="shared" si="19"/>
        <v>0</v>
      </c>
      <c r="R70" s="31"/>
      <c r="S70" s="28">
        <f t="shared" si="21"/>
        <v>0</v>
      </c>
      <c r="T70" s="28">
        <f t="shared" si="22"/>
        <v>0</v>
      </c>
      <c r="U70" s="28">
        <f t="shared" si="23"/>
        <v>0</v>
      </c>
      <c r="V70" s="28">
        <f t="shared" si="24"/>
        <v>0</v>
      </c>
      <c r="W70" s="31">
        <f t="shared" si="26"/>
        <v>498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20"/>
        <v>0</v>
      </c>
      <c r="L71" s="28">
        <f t="shared" si="25"/>
        <v>498</v>
      </c>
      <c r="M71" s="148"/>
      <c r="N71" s="148"/>
      <c r="O71" s="30" t="e">
        <f t="shared" si="18"/>
        <v>#DIV/0!</v>
      </c>
      <c r="P71" s="171"/>
      <c r="Q71" s="31">
        <f t="shared" si="19"/>
        <v>0</v>
      </c>
      <c r="R71" s="31"/>
      <c r="S71" s="28">
        <f t="shared" si="21"/>
        <v>0</v>
      </c>
      <c r="T71" s="28">
        <f t="shared" si="22"/>
        <v>0</v>
      </c>
      <c r="U71" s="28">
        <f t="shared" si="23"/>
        <v>0</v>
      </c>
      <c r="V71" s="28">
        <f t="shared" si="24"/>
        <v>0</v>
      </c>
      <c r="W71" s="31">
        <f t="shared" si="26"/>
        <v>498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20"/>
        <v>0</v>
      </c>
      <c r="L72" s="28">
        <f t="shared" si="25"/>
        <v>498</v>
      </c>
      <c r="M72" s="148"/>
      <c r="N72" s="148"/>
      <c r="O72" s="30" t="e">
        <f t="shared" si="18"/>
        <v>#DIV/0!</v>
      </c>
      <c r="P72" s="171"/>
      <c r="Q72" s="31">
        <f t="shared" si="19"/>
        <v>0</v>
      </c>
      <c r="R72" s="31"/>
      <c r="S72" s="28">
        <f t="shared" si="21"/>
        <v>0</v>
      </c>
      <c r="T72" s="28">
        <f t="shared" si="22"/>
        <v>0</v>
      </c>
      <c r="U72" s="28">
        <f t="shared" si="23"/>
        <v>0</v>
      </c>
      <c r="V72" s="28">
        <f t="shared" si="24"/>
        <v>0</v>
      </c>
      <c r="W72" s="31">
        <f t="shared" si="26"/>
        <v>498</v>
      </c>
      <c r="X72" s="211"/>
      <c r="Y72" s="214" t="s">
        <v>47</v>
      </c>
      <c r="Z72" s="215">
        <f ca="1">Z8</f>
        <v>41937</v>
      </c>
      <c r="AA72" s="818" t="s">
        <v>118</v>
      </c>
      <c r="AB72" s="818"/>
      <c r="AC72" s="818"/>
      <c r="AD72" s="216">
        <v>9.25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20"/>
        <v>0</v>
      </c>
      <c r="L73" s="28">
        <f t="shared" si="25"/>
        <v>498</v>
      </c>
      <c r="M73" s="148"/>
      <c r="N73" s="148"/>
      <c r="O73" s="30" t="e">
        <f t="shared" si="18"/>
        <v>#DIV/0!</v>
      </c>
      <c r="P73" s="171"/>
      <c r="Q73" s="31">
        <f t="shared" si="19"/>
        <v>0</v>
      </c>
      <c r="R73" s="31"/>
      <c r="S73" s="28">
        <f t="shared" si="21"/>
        <v>0</v>
      </c>
      <c r="T73" s="28">
        <f t="shared" si="22"/>
        <v>0</v>
      </c>
      <c r="U73" s="28">
        <f t="shared" si="23"/>
        <v>0</v>
      </c>
      <c r="V73" s="28">
        <f t="shared" si="24"/>
        <v>0</v>
      </c>
      <c r="W73" s="31">
        <f t="shared" si="26"/>
        <v>498</v>
      </c>
      <c r="X73" s="211"/>
      <c r="Y73" s="214" t="s">
        <v>119</v>
      </c>
      <c r="Z73" s="480">
        <f>AD72</f>
        <v>9.25</v>
      </c>
      <c r="AA73" s="753" t="s">
        <v>120</v>
      </c>
      <c r="AB73" s="753"/>
      <c r="AC73" s="753"/>
      <c r="AD73" s="219">
        <f>24-AD72</f>
        <v>14.75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si="20"/>
        <v>0</v>
      </c>
      <c r="L74" s="28">
        <f t="shared" si="25"/>
        <v>498</v>
      </c>
      <c r="M74" s="148"/>
      <c r="N74" s="148"/>
      <c r="O74" s="30" t="e">
        <f t="shared" si="18"/>
        <v>#DIV/0!</v>
      </c>
      <c r="P74" s="171"/>
      <c r="Q74" s="31">
        <f t="shared" si="19"/>
        <v>0</v>
      </c>
      <c r="R74" s="31"/>
      <c r="S74" s="28">
        <f t="shared" si="21"/>
        <v>0</v>
      </c>
      <c r="T74" s="28">
        <f t="shared" si="22"/>
        <v>0</v>
      </c>
      <c r="U74" s="28">
        <f t="shared" si="23"/>
        <v>0</v>
      </c>
      <c r="V74" s="28">
        <f t="shared" si="24"/>
        <v>0</v>
      </c>
      <c r="W74" s="31">
        <f t="shared" si="26"/>
        <v>498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54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0"/>
        <v>0</v>
      </c>
      <c r="L75" s="28">
        <f t="shared" si="25"/>
        <v>498</v>
      </c>
      <c r="M75" s="148"/>
      <c r="N75" s="148"/>
      <c r="O75" s="30" t="e">
        <f t="shared" si="18"/>
        <v>#DIV/0!</v>
      </c>
      <c r="P75" s="171"/>
      <c r="Q75" s="31">
        <f t="shared" si="19"/>
        <v>0</v>
      </c>
      <c r="R75" s="31"/>
      <c r="S75" s="28">
        <f t="shared" si="21"/>
        <v>0</v>
      </c>
      <c r="T75" s="28">
        <f t="shared" si="22"/>
        <v>0</v>
      </c>
      <c r="U75" s="28">
        <f t="shared" si="23"/>
        <v>0</v>
      </c>
      <c r="V75" s="28">
        <f t="shared" si="24"/>
        <v>0</v>
      </c>
      <c r="W75" s="31">
        <f t="shared" si="26"/>
        <v>498</v>
      </c>
      <c r="X75" s="211"/>
      <c r="Y75" s="754" t="s">
        <v>121</v>
      </c>
      <c r="Z75" s="754" t="s">
        <v>122</v>
      </c>
      <c r="AA75" s="754" t="s">
        <v>123</v>
      </c>
      <c r="AB75" s="820" t="s">
        <v>124</v>
      </c>
      <c r="AC75" s="821"/>
      <c r="AD75" s="822"/>
      <c r="AE75" s="754" t="s">
        <v>125</v>
      </c>
      <c r="AF75" s="754" t="s">
        <v>126</v>
      </c>
      <c r="AG75" s="149"/>
      <c r="AH75" s="754" t="s">
        <v>121</v>
      </c>
      <c r="AI75" s="754"/>
      <c r="AJ75" s="214" t="s">
        <v>7</v>
      </c>
      <c r="AK75" s="236">
        <f>((+AD78-AA78)/$AD$73)*24</f>
        <v>96481.627118644072</v>
      </c>
      <c r="AL75" s="236">
        <f>AK75</f>
        <v>96481.627118644072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0"/>
        <v>0</v>
      </c>
      <c r="L76" s="28">
        <f t="shared" si="25"/>
        <v>498</v>
      </c>
      <c r="M76" s="148"/>
      <c r="N76" s="148"/>
      <c r="O76" s="30" t="e">
        <f t="shared" si="18"/>
        <v>#DIV/0!</v>
      </c>
      <c r="P76" s="171"/>
      <c r="Q76" s="31">
        <f t="shared" si="19"/>
        <v>0</v>
      </c>
      <c r="R76" s="31"/>
      <c r="S76" s="28">
        <f t="shared" si="21"/>
        <v>0</v>
      </c>
      <c r="T76" s="28">
        <f t="shared" si="22"/>
        <v>0</v>
      </c>
      <c r="U76" s="28">
        <f t="shared" si="23"/>
        <v>0</v>
      </c>
      <c r="V76" s="28">
        <f t="shared" si="24"/>
        <v>0</v>
      </c>
      <c r="W76" s="31">
        <f t="shared" si="26"/>
        <v>498</v>
      </c>
      <c r="X76" s="211"/>
      <c r="Y76" s="754"/>
      <c r="Z76" s="754"/>
      <c r="AA76" s="754"/>
      <c r="AB76" s="754"/>
      <c r="AC76" s="754"/>
      <c r="AD76" s="754"/>
      <c r="AE76" s="754"/>
      <c r="AF76" s="754"/>
      <c r="AG76" s="149"/>
      <c r="AH76" s="754"/>
      <c r="AI76" s="754"/>
      <c r="AJ76" s="214" t="s">
        <v>6</v>
      </c>
      <c r="AK76" s="236">
        <f>((+AD79-AA79)/$AD$73)*24</f>
        <v>320146.98305084743</v>
      </c>
      <c r="AL76" s="236">
        <f>+AK76</f>
        <v>320146.98305084743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0"/>
        <v>0</v>
      </c>
      <c r="L77" s="28">
        <f t="shared" si="25"/>
        <v>498</v>
      </c>
      <c r="M77" s="148"/>
      <c r="N77" s="148"/>
      <c r="O77" s="30" t="e">
        <f t="shared" si="18"/>
        <v>#DIV/0!</v>
      </c>
      <c r="P77" s="171"/>
      <c r="Q77" s="31">
        <f t="shared" si="19"/>
        <v>0</v>
      </c>
      <c r="R77" s="31"/>
      <c r="S77" s="28">
        <f t="shared" si="21"/>
        <v>0</v>
      </c>
      <c r="T77" s="28">
        <f t="shared" si="22"/>
        <v>0</v>
      </c>
      <c r="U77" s="28">
        <f t="shared" si="23"/>
        <v>0</v>
      </c>
      <c r="V77" s="28">
        <f t="shared" si="24"/>
        <v>0</v>
      </c>
      <c r="W77" s="31">
        <f t="shared" si="26"/>
        <v>498</v>
      </c>
      <c r="X77" s="211"/>
      <c r="Y77" s="754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54"/>
      <c r="AI77" s="78"/>
      <c r="AJ77" s="214" t="s">
        <v>8</v>
      </c>
      <c r="AK77" s="236">
        <f>((+AD80-AA80)/$AD$73)*24</f>
        <v>80054.237288135599</v>
      </c>
      <c r="AL77" s="236">
        <f>AK77</f>
        <v>80054.237288135599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0"/>
        <v>0</v>
      </c>
      <c r="L78" s="28">
        <f t="shared" si="25"/>
        <v>498</v>
      </c>
      <c r="M78" s="148"/>
      <c r="N78" s="148"/>
      <c r="O78" s="30" t="e">
        <f t="shared" si="18"/>
        <v>#DIV/0!</v>
      </c>
      <c r="P78" s="171"/>
      <c r="Q78" s="31">
        <f t="shared" si="19"/>
        <v>0</v>
      </c>
      <c r="R78" s="31"/>
      <c r="S78" s="28">
        <f t="shared" si="21"/>
        <v>0</v>
      </c>
      <c r="T78" s="28">
        <f t="shared" si="22"/>
        <v>0</v>
      </c>
      <c r="U78" s="28">
        <f t="shared" si="23"/>
        <v>0</v>
      </c>
      <c r="V78" s="28">
        <f t="shared" si="24"/>
        <v>0</v>
      </c>
      <c r="W78" s="31">
        <f t="shared" si="26"/>
        <v>498</v>
      </c>
      <c r="X78" s="211"/>
      <c r="Y78" s="214" t="s">
        <v>7</v>
      </c>
      <c r="Z78" s="224">
        <v>89836</v>
      </c>
      <c r="AA78" s="225">
        <v>30540</v>
      </c>
      <c r="AB78" s="226">
        <f t="shared" ref="AB78:AC80" si="27">+Z58</f>
        <v>27715</v>
      </c>
      <c r="AC78" s="226">
        <f t="shared" si="27"/>
        <v>62121</v>
      </c>
      <c r="AD78" s="226">
        <f>+AB78+AC78+AB58+AC58</f>
        <v>89836</v>
      </c>
      <c r="AE78" s="519">
        <f>+((AD58/24)*$AD$73)+AA78</f>
        <v>85751.708333333328</v>
      </c>
      <c r="AF78" s="227">
        <f>+AE78-AD78</f>
        <v>-4084.2916666666715</v>
      </c>
      <c r="AG78" s="212"/>
      <c r="AH78" s="214" t="s">
        <v>7</v>
      </c>
      <c r="AI78" s="446">
        <f>+AA78</f>
        <v>30540</v>
      </c>
      <c r="AK78" s="231">
        <f>+SUM(AK75:AK77)</f>
        <v>496682.84745762707</v>
      </c>
      <c r="AL78" s="231">
        <f>+SUM(AL75:AL77)</f>
        <v>496682.84745762707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0"/>
        <v>0</v>
      </c>
      <c r="L79" s="28">
        <f t="shared" si="25"/>
        <v>498</v>
      </c>
      <c r="M79" s="148"/>
      <c r="N79" s="148"/>
      <c r="O79" s="30" t="e">
        <f t="shared" si="18"/>
        <v>#DIV/0!</v>
      </c>
      <c r="P79" s="171"/>
      <c r="Q79" s="31">
        <f t="shared" si="19"/>
        <v>0</v>
      </c>
      <c r="R79" s="31"/>
      <c r="S79" s="28">
        <f t="shared" si="21"/>
        <v>0</v>
      </c>
      <c r="T79" s="28">
        <f t="shared" si="22"/>
        <v>0</v>
      </c>
      <c r="U79" s="28">
        <f t="shared" si="23"/>
        <v>0</v>
      </c>
      <c r="V79" s="28">
        <f t="shared" si="24"/>
        <v>0</v>
      </c>
      <c r="W79" s="31">
        <f t="shared" si="26"/>
        <v>498</v>
      </c>
      <c r="X79" s="211"/>
      <c r="Y79" s="214" t="s">
        <v>6</v>
      </c>
      <c r="Z79" s="224">
        <v>297521</v>
      </c>
      <c r="AA79" s="225">
        <v>114300</v>
      </c>
      <c r="AB79" s="226">
        <f t="shared" si="27"/>
        <v>151147</v>
      </c>
      <c r="AC79" s="226">
        <f t="shared" si="27"/>
        <v>159910</v>
      </c>
      <c r="AD79" s="226">
        <f>+AB79+AC79+AB59</f>
        <v>311057</v>
      </c>
      <c r="AE79" s="519">
        <f>+((AD59/24)*$AD$73)+AA79</f>
        <v>305470.44791666669</v>
      </c>
      <c r="AF79" s="227">
        <f>+AE79-AD79</f>
        <v>-5586.5520833333139</v>
      </c>
      <c r="AG79" s="212"/>
      <c r="AH79" s="214" t="s">
        <v>6</v>
      </c>
      <c r="AI79" s="446">
        <f>+AA79</f>
        <v>114300</v>
      </c>
      <c r="AJ79" s="53"/>
      <c r="AK79" s="481">
        <f>Z10</f>
        <v>497117</v>
      </c>
      <c r="AL79" s="481">
        <f>AK79-AK78</f>
        <v>434.15254237293266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0"/>
        <v>0</v>
      </c>
      <c r="L80" s="28">
        <f t="shared" si="25"/>
        <v>498</v>
      </c>
      <c r="M80" s="148"/>
      <c r="N80" s="234"/>
      <c r="O80" s="30" t="e">
        <f t="shared" si="18"/>
        <v>#DIV/0!</v>
      </c>
      <c r="P80" s="179"/>
      <c r="Q80" s="31">
        <f t="shared" si="19"/>
        <v>0</v>
      </c>
      <c r="R80" s="31"/>
      <c r="S80" s="28">
        <f t="shared" si="21"/>
        <v>0</v>
      </c>
      <c r="T80" s="28">
        <f t="shared" si="22"/>
        <v>0</v>
      </c>
      <c r="U80" s="28">
        <f t="shared" si="23"/>
        <v>0</v>
      </c>
      <c r="V80" s="28">
        <f t="shared" si="24"/>
        <v>0</v>
      </c>
      <c r="W80" s="31">
        <f t="shared" si="26"/>
        <v>498</v>
      </c>
      <c r="X80" s="211"/>
      <c r="Y80" s="214" t="s">
        <v>8</v>
      </c>
      <c r="Z80" s="224">
        <v>80000</v>
      </c>
      <c r="AA80" s="225">
        <v>30800</v>
      </c>
      <c r="AB80" s="226">
        <f t="shared" si="27"/>
        <v>34400</v>
      </c>
      <c r="AC80" s="226">
        <f t="shared" si="27"/>
        <v>45600</v>
      </c>
      <c r="AD80" s="226">
        <f>+AB80+AC80</f>
        <v>80000</v>
      </c>
      <c r="AE80" s="519">
        <f>+((AD60/24)*$AD$73)+AA80</f>
        <v>79966.666666666672</v>
      </c>
      <c r="AF80" s="227">
        <f>+AE80-AD80</f>
        <v>-33.333333333328483</v>
      </c>
      <c r="AG80" s="149"/>
      <c r="AH80" s="214" t="s">
        <v>8</v>
      </c>
      <c r="AI80" s="447">
        <f>+AA80</f>
        <v>30800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0"/>
        <v>0</v>
      </c>
      <c r="L81" s="28">
        <f t="shared" si="25"/>
        <v>498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9"/>
        <v>0</v>
      </c>
      <c r="R81" s="31"/>
      <c r="S81" s="28">
        <f t="shared" si="21"/>
        <v>0</v>
      </c>
      <c r="T81" s="28">
        <f t="shared" si="22"/>
        <v>0</v>
      </c>
      <c r="U81" s="28">
        <f t="shared" si="23"/>
        <v>0</v>
      </c>
      <c r="V81" s="28">
        <f t="shared" si="24"/>
        <v>0</v>
      </c>
      <c r="W81" s="31">
        <f t="shared" si="26"/>
        <v>498</v>
      </c>
      <c r="X81" s="211"/>
      <c r="Y81" s="228" t="s">
        <v>130</v>
      </c>
      <c r="Z81" s="229">
        <f t="shared" ref="Z81:AE81" si="28">SUM(Z78:Z80)</f>
        <v>467357</v>
      </c>
      <c r="AA81" s="230">
        <f t="shared" si="28"/>
        <v>175640</v>
      </c>
      <c r="AB81" s="229">
        <f t="shared" si="28"/>
        <v>213262</v>
      </c>
      <c r="AC81" s="229">
        <f t="shared" si="28"/>
        <v>267631</v>
      </c>
      <c r="AD81" s="229">
        <f t="shared" si="28"/>
        <v>480893</v>
      </c>
      <c r="AE81" s="229">
        <f t="shared" si="28"/>
        <v>471188.82291666669</v>
      </c>
      <c r="AF81" s="227">
        <f>+SUM(AF78:AF80)</f>
        <v>-9704.1770833333139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0"/>
        <v>0</v>
      </c>
      <c r="L82" s="28">
        <f t="shared" si="25"/>
        <v>498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21"/>
        <v>0</v>
      </c>
      <c r="T82" s="28">
        <f t="shared" si="22"/>
        <v>0</v>
      </c>
      <c r="U82" s="28">
        <f t="shared" si="23"/>
        <v>0</v>
      </c>
      <c r="V82" s="28">
        <f t="shared" si="24"/>
        <v>0</v>
      </c>
      <c r="W82" s="31">
        <f t="shared" si="26"/>
        <v>498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0"/>
        <v>0</v>
      </c>
      <c r="L83" s="28">
        <f t="shared" si="25"/>
        <v>498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21"/>
        <v>0</v>
      </c>
      <c r="T83" s="28">
        <f t="shared" si="22"/>
        <v>0</v>
      </c>
      <c r="U83" s="28">
        <f t="shared" si="23"/>
        <v>0</v>
      </c>
      <c r="V83" s="28">
        <f t="shared" si="24"/>
        <v>0</v>
      </c>
      <c r="W83" s="31">
        <f t="shared" si="26"/>
        <v>498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0"/>
        <v>0</v>
      </c>
      <c r="L84" s="28">
        <f t="shared" si="25"/>
        <v>498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21"/>
        <v>0</v>
      </c>
      <c r="T84" s="28">
        <f t="shared" si="22"/>
        <v>0</v>
      </c>
      <c r="U84" s="28">
        <f t="shared" si="23"/>
        <v>0</v>
      </c>
      <c r="V84" s="28">
        <f t="shared" si="24"/>
        <v>0</v>
      </c>
      <c r="W84" s="31">
        <f t="shared" si="26"/>
        <v>498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0"/>
        <v>0</v>
      </c>
      <c r="L85" s="28">
        <f t="shared" si="25"/>
        <v>498</v>
      </c>
      <c r="M85" s="810"/>
      <c r="N85" s="810">
        <f>SUM(K85:K93)</f>
        <v>0</v>
      </c>
      <c r="O85" s="30" t="e">
        <f t="shared" ref="O85:O93" si="29">+K85/$N$85</f>
        <v>#DIV/0!</v>
      </c>
      <c r="P85" s="238"/>
      <c r="Q85" s="31">
        <f t="shared" ref="Q85:Q103" si="30">IF($P$85=0,0,(-($P$85*O85)+K85)-K85)</f>
        <v>0</v>
      </c>
      <c r="R85" s="31"/>
      <c r="S85" s="28">
        <f t="shared" si="21"/>
        <v>0</v>
      </c>
      <c r="T85" s="28">
        <f t="shared" si="22"/>
        <v>0</v>
      </c>
      <c r="U85" s="28">
        <f t="shared" si="23"/>
        <v>0</v>
      </c>
      <c r="V85" s="28">
        <f t="shared" si="24"/>
        <v>0</v>
      </c>
      <c r="W85" s="31">
        <f t="shared" si="26"/>
        <v>498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0"/>
        <v>0</v>
      </c>
      <c r="L86" s="28">
        <f t="shared" si="25"/>
        <v>498</v>
      </c>
      <c r="M86" s="810"/>
      <c r="N86" s="810"/>
      <c r="O86" s="30" t="e">
        <f t="shared" si="29"/>
        <v>#DIV/0!</v>
      </c>
      <c r="P86" s="171"/>
      <c r="Q86" s="31">
        <f t="shared" si="30"/>
        <v>0</v>
      </c>
      <c r="R86" s="31"/>
      <c r="S86" s="28">
        <f t="shared" si="21"/>
        <v>0</v>
      </c>
      <c r="T86" s="28">
        <f t="shared" si="22"/>
        <v>0</v>
      </c>
      <c r="U86" s="28">
        <f t="shared" si="23"/>
        <v>0</v>
      </c>
      <c r="V86" s="28">
        <f t="shared" si="24"/>
        <v>0</v>
      </c>
      <c r="W86" s="31">
        <f t="shared" si="26"/>
        <v>498</v>
      </c>
      <c r="Y86" s="14" t="s">
        <v>177</v>
      </c>
      <c r="Z86" s="336" t="s">
        <v>178</v>
      </c>
      <c r="AA86" s="337">
        <f>+AA81</f>
        <v>175640</v>
      </c>
      <c r="AB86" s="337">
        <f>AA87-AA86</f>
        <v>96549.729166666686</v>
      </c>
      <c r="AC86" s="42">
        <f>AB86*24/5.5</f>
        <v>421307.90909090918</v>
      </c>
      <c r="AD86" s="338">
        <f>AC86+353111</f>
        <v>774418.90909090918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0"/>
        <v>0</v>
      </c>
      <c r="L87" s="28">
        <f t="shared" si="25"/>
        <v>498</v>
      </c>
      <c r="M87" s="810"/>
      <c r="N87" s="810"/>
      <c r="O87" s="30" t="e">
        <f t="shared" si="29"/>
        <v>#DIV/0!</v>
      </c>
      <c r="P87" s="171"/>
      <c r="Q87" s="31">
        <f t="shared" si="30"/>
        <v>0</v>
      </c>
      <c r="R87" s="31"/>
      <c r="S87" s="28">
        <f t="shared" si="21"/>
        <v>0</v>
      </c>
      <c r="T87" s="28">
        <f t="shared" si="22"/>
        <v>0</v>
      </c>
      <c r="U87" s="28">
        <f t="shared" si="23"/>
        <v>0</v>
      </c>
      <c r="V87" s="28">
        <f t="shared" si="24"/>
        <v>0</v>
      </c>
      <c r="W87" s="31">
        <f t="shared" si="26"/>
        <v>498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177471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0"/>
        <v>0</v>
      </c>
      <c r="L88" s="28">
        <f t="shared" si="25"/>
        <v>498</v>
      </c>
      <c r="M88" s="810"/>
      <c r="N88" s="810"/>
      <c r="O88" s="30" t="e">
        <f t="shared" si="29"/>
        <v>#DIV/0!</v>
      </c>
      <c r="P88" s="171"/>
      <c r="Q88" s="31">
        <f t="shared" si="30"/>
        <v>0</v>
      </c>
      <c r="R88" s="31"/>
      <c r="S88" s="28">
        <f t="shared" si="21"/>
        <v>0</v>
      </c>
      <c r="T88" s="28">
        <f t="shared" si="22"/>
        <v>0</v>
      </c>
      <c r="U88" s="28">
        <f t="shared" si="23"/>
        <v>0</v>
      </c>
      <c r="V88" s="28">
        <f t="shared" si="24"/>
        <v>0</v>
      </c>
      <c r="W88" s="31">
        <f t="shared" si="26"/>
        <v>498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0"/>
        <v>0</v>
      </c>
      <c r="L89" s="28">
        <f t="shared" si="25"/>
        <v>498</v>
      </c>
      <c r="M89" s="810"/>
      <c r="N89" s="810"/>
      <c r="O89" s="30" t="e">
        <f t="shared" si="29"/>
        <v>#DIV/0!</v>
      </c>
      <c r="P89" s="171"/>
      <c r="Q89" s="31">
        <f t="shared" si="30"/>
        <v>0</v>
      </c>
      <c r="R89" s="31"/>
      <c r="S89" s="28">
        <f t="shared" si="21"/>
        <v>0</v>
      </c>
      <c r="T89" s="28">
        <f t="shared" si="22"/>
        <v>0</v>
      </c>
      <c r="U89" s="28">
        <f t="shared" si="23"/>
        <v>0</v>
      </c>
      <c r="V89" s="28">
        <f t="shared" si="24"/>
        <v>0</v>
      </c>
      <c r="W89" s="31">
        <f t="shared" si="26"/>
        <v>498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0"/>
        <v>0</v>
      </c>
      <c r="L90" s="28">
        <f t="shared" si="25"/>
        <v>498</v>
      </c>
      <c r="M90" s="810"/>
      <c r="N90" s="810"/>
      <c r="O90" s="30" t="e">
        <f t="shared" si="29"/>
        <v>#DIV/0!</v>
      </c>
      <c r="P90" s="171"/>
      <c r="Q90" s="31">
        <f t="shared" si="30"/>
        <v>0</v>
      </c>
      <c r="R90" s="31"/>
      <c r="S90" s="28">
        <f t="shared" si="21"/>
        <v>0</v>
      </c>
      <c r="T90" s="28">
        <f t="shared" si="22"/>
        <v>0</v>
      </c>
      <c r="U90" s="28">
        <f t="shared" si="23"/>
        <v>0</v>
      </c>
      <c r="V90" s="28">
        <f t="shared" si="24"/>
        <v>0</v>
      </c>
      <c r="W90" s="31">
        <f t="shared" si="26"/>
        <v>498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0"/>
        <v>0</v>
      </c>
      <c r="L91" s="28">
        <f t="shared" si="25"/>
        <v>498</v>
      </c>
      <c r="M91" s="810"/>
      <c r="N91" s="810"/>
      <c r="O91" s="30" t="e">
        <f t="shared" si="29"/>
        <v>#DIV/0!</v>
      </c>
      <c r="P91" s="171"/>
      <c r="Q91" s="31">
        <f t="shared" si="30"/>
        <v>0</v>
      </c>
      <c r="R91" s="31"/>
      <c r="S91" s="28">
        <f t="shared" si="21"/>
        <v>0</v>
      </c>
      <c r="T91" s="28">
        <f t="shared" si="22"/>
        <v>0</v>
      </c>
      <c r="U91" s="28">
        <f t="shared" si="23"/>
        <v>0</v>
      </c>
      <c r="V91" s="28">
        <f t="shared" si="24"/>
        <v>0</v>
      </c>
      <c r="W91" s="31">
        <f t="shared" si="26"/>
        <v>498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0"/>
        <v>0</v>
      </c>
      <c r="L92" s="28">
        <f t="shared" si="25"/>
        <v>498</v>
      </c>
      <c r="M92" s="810"/>
      <c r="N92" s="810"/>
      <c r="O92" s="30" t="e">
        <f t="shared" si="29"/>
        <v>#DIV/0!</v>
      </c>
      <c r="P92" s="171"/>
      <c r="Q92" s="31">
        <f t="shared" si="30"/>
        <v>0</v>
      </c>
      <c r="R92" s="31"/>
      <c r="S92" s="28">
        <f t="shared" si="21"/>
        <v>0</v>
      </c>
      <c r="T92" s="28">
        <f t="shared" si="22"/>
        <v>0</v>
      </c>
      <c r="U92" s="28">
        <f t="shared" si="23"/>
        <v>0</v>
      </c>
      <c r="V92" s="28">
        <f t="shared" si="24"/>
        <v>0</v>
      </c>
      <c r="W92" s="31">
        <f t="shared" si="26"/>
        <v>498</v>
      </c>
      <c r="Y92" s="882" t="s">
        <v>158</v>
      </c>
      <c r="Z92" s="586" t="s">
        <v>283</v>
      </c>
      <c r="AA92" s="699">
        <f>(SUMIF($D$2:$D$57,"domiciliario",$I$2:$I$103))/1000</f>
        <v>19.395</v>
      </c>
      <c r="AB92" s="700">
        <f>(SUMIF($D$2:$D$57,"domiciliario",$T$2:$T$103))/1000</f>
        <v>19.395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0"/>
        <v>0</v>
      </c>
      <c r="L93" s="28">
        <f t="shared" si="25"/>
        <v>498</v>
      </c>
      <c r="M93" s="810"/>
      <c r="N93" s="810"/>
      <c r="O93" s="30" t="e">
        <f t="shared" si="29"/>
        <v>#DIV/0!</v>
      </c>
      <c r="P93" s="179"/>
      <c r="Q93" s="31">
        <f t="shared" si="30"/>
        <v>0</v>
      </c>
      <c r="R93" s="31"/>
      <c r="S93" s="28">
        <f t="shared" si="21"/>
        <v>0</v>
      </c>
      <c r="T93" s="28">
        <f t="shared" si="22"/>
        <v>0</v>
      </c>
      <c r="U93" s="28">
        <f t="shared" si="23"/>
        <v>0</v>
      </c>
      <c r="V93" s="28">
        <f t="shared" si="24"/>
        <v>0</v>
      </c>
      <c r="W93" s="31">
        <f t="shared" si="26"/>
        <v>498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0"/>
        <v>0</v>
      </c>
      <c r="L94" s="28">
        <f t="shared" si="25"/>
        <v>498</v>
      </c>
      <c r="M94" s="810"/>
      <c r="N94" s="810">
        <f>SUM(K94:K103)</f>
        <v>0</v>
      </c>
      <c r="O94" s="30">
        <f t="shared" ref="O94:O103" si="31">IF($N$94=0,0,+K94/$N$94)</f>
        <v>0</v>
      </c>
      <c r="P94" s="238"/>
      <c r="Q94" s="31">
        <f t="shared" si="30"/>
        <v>0</v>
      </c>
      <c r="R94" s="31"/>
      <c r="S94" s="28">
        <f t="shared" si="21"/>
        <v>0</v>
      </c>
      <c r="T94" s="28">
        <f t="shared" si="22"/>
        <v>0</v>
      </c>
      <c r="U94" s="28">
        <f t="shared" si="23"/>
        <v>0</v>
      </c>
      <c r="V94" s="28">
        <f t="shared" si="24"/>
        <v>0</v>
      </c>
      <c r="W94" s="31">
        <f t="shared" si="26"/>
        <v>498</v>
      </c>
      <c r="Y94" s="883"/>
      <c r="Z94" s="588" t="s">
        <v>80</v>
      </c>
      <c r="AA94" s="701">
        <f>(SUMIF($D$2:$D$57,"gnv",$I$2:$I$103))/1000</f>
        <v>0.32</v>
      </c>
      <c r="AB94" s="702">
        <f>(SUMIF($D$2:$D$57,"gnv",$T$2:$T$103))/1000</f>
        <v>0.32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0"/>
        <v>0</v>
      </c>
      <c r="L95" s="28">
        <f t="shared" si="25"/>
        <v>498</v>
      </c>
      <c r="M95" s="810"/>
      <c r="N95" s="810"/>
      <c r="O95" s="30">
        <f t="shared" si="31"/>
        <v>0</v>
      </c>
      <c r="P95" s="171"/>
      <c r="Q95" s="31">
        <f t="shared" si="30"/>
        <v>0</v>
      </c>
      <c r="R95" s="31"/>
      <c r="S95" s="28">
        <f t="shared" si="21"/>
        <v>0</v>
      </c>
      <c r="T95" s="28">
        <f t="shared" si="22"/>
        <v>0</v>
      </c>
      <c r="U95" s="28">
        <f t="shared" si="23"/>
        <v>0</v>
      </c>
      <c r="V95" s="28">
        <f t="shared" si="24"/>
        <v>0</v>
      </c>
      <c r="W95" s="31">
        <f t="shared" si="26"/>
        <v>498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8</v>
      </c>
      <c r="AB95" s="702">
        <f>(SUMIF($D$2:$D$57,"termico",$T$2:$T$103)+SUMIF($D$2:$D$57,"electrico",$T$2:$T$103)+SUMIF($D$2:$D$57,"térmico",$T$2:$T$103))/1000</f>
        <v>8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0"/>
        <v>0</v>
      </c>
      <c r="L96" s="28">
        <f t="shared" si="25"/>
        <v>498</v>
      </c>
      <c r="M96" s="810"/>
      <c r="N96" s="810"/>
      <c r="O96" s="30">
        <f t="shared" si="31"/>
        <v>0</v>
      </c>
      <c r="P96" s="171"/>
      <c r="Q96" s="31">
        <f t="shared" si="30"/>
        <v>0</v>
      </c>
      <c r="R96" s="31"/>
      <c r="S96" s="28">
        <f t="shared" si="21"/>
        <v>0</v>
      </c>
      <c r="T96" s="28">
        <f t="shared" si="22"/>
        <v>0</v>
      </c>
      <c r="U96" s="28">
        <f t="shared" si="23"/>
        <v>0</v>
      </c>
      <c r="V96" s="28">
        <f t="shared" si="24"/>
        <v>0</v>
      </c>
      <c r="W96" s="31">
        <f t="shared" si="26"/>
        <v>498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0"/>
        <v>0</v>
      </c>
      <c r="L97" s="28">
        <f t="shared" si="25"/>
        <v>498</v>
      </c>
      <c r="M97" s="810"/>
      <c r="N97" s="810"/>
      <c r="O97" s="30">
        <f t="shared" si="31"/>
        <v>0</v>
      </c>
      <c r="P97" s="171"/>
      <c r="Q97" s="31">
        <f t="shared" si="30"/>
        <v>0</v>
      </c>
      <c r="R97" s="31"/>
      <c r="S97" s="28">
        <f t="shared" si="21"/>
        <v>0</v>
      </c>
      <c r="T97" s="28">
        <f t="shared" si="22"/>
        <v>0</v>
      </c>
      <c r="U97" s="28">
        <f t="shared" si="23"/>
        <v>0</v>
      </c>
      <c r="V97" s="28">
        <f t="shared" si="24"/>
        <v>0</v>
      </c>
      <c r="W97" s="31">
        <f t="shared" si="26"/>
        <v>498</v>
      </c>
      <c r="Y97" s="825" t="s">
        <v>154</v>
      </c>
      <c r="Z97" s="489" t="s">
        <v>283</v>
      </c>
      <c r="AA97" s="705">
        <f>(SUMIF($D$2:$D$57,"domiciliario",$H$2:$H$103))/1000</f>
        <v>31.797999999999998</v>
      </c>
      <c r="AB97" s="706">
        <f>(SUMIF($D$2:$D$57,"domiciliario",$S$2:$S$103))/1000</f>
        <v>31.797999999999998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0"/>
        <v>0</v>
      </c>
      <c r="L98" s="28">
        <f t="shared" si="25"/>
        <v>498</v>
      </c>
      <c r="M98" s="810"/>
      <c r="N98" s="810"/>
      <c r="O98" s="30">
        <f t="shared" si="31"/>
        <v>0</v>
      </c>
      <c r="P98" s="171"/>
      <c r="Q98" s="31">
        <f t="shared" si="30"/>
        <v>0</v>
      </c>
      <c r="R98" s="31"/>
      <c r="S98" s="28">
        <f t="shared" si="21"/>
        <v>0</v>
      </c>
      <c r="T98" s="28">
        <f t="shared" si="22"/>
        <v>0</v>
      </c>
      <c r="U98" s="28">
        <f t="shared" si="23"/>
        <v>0</v>
      </c>
      <c r="V98" s="28">
        <f t="shared" si="24"/>
        <v>0</v>
      </c>
      <c r="W98" s="31">
        <f t="shared" si="26"/>
        <v>498</v>
      </c>
      <c r="Y98" s="826"/>
      <c r="Z98" s="492" t="s">
        <v>284</v>
      </c>
      <c r="AA98" s="707">
        <f>(SUMIF($D$2:$D$57,"industrial",$H$2:$H$103))/1000</f>
        <v>16.18</v>
      </c>
      <c r="AB98" s="708">
        <f>(SUMIF($D$2:$D$57,"industrial",$S$2:$S$103))/1000</f>
        <v>16.18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0"/>
        <v>0</v>
      </c>
      <c r="L99" s="28">
        <f t="shared" si="25"/>
        <v>498</v>
      </c>
      <c r="M99" s="810"/>
      <c r="N99" s="810"/>
      <c r="O99" s="30">
        <f t="shared" si="31"/>
        <v>0</v>
      </c>
      <c r="P99" s="171"/>
      <c r="Q99" s="31">
        <f t="shared" si="30"/>
        <v>0</v>
      </c>
      <c r="R99" s="31"/>
      <c r="S99" s="28">
        <f t="shared" si="21"/>
        <v>0</v>
      </c>
      <c r="T99" s="28">
        <f t="shared" si="22"/>
        <v>0</v>
      </c>
      <c r="U99" s="28">
        <f t="shared" si="23"/>
        <v>0</v>
      </c>
      <c r="V99" s="28">
        <f t="shared" si="24"/>
        <v>0</v>
      </c>
      <c r="W99" s="31">
        <f t="shared" si="26"/>
        <v>498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0"/>
        <v>0</v>
      </c>
      <c r="L100" s="28">
        <f t="shared" si="25"/>
        <v>498</v>
      </c>
      <c r="M100" s="810"/>
      <c r="N100" s="810"/>
      <c r="O100" s="30">
        <f t="shared" si="31"/>
        <v>0</v>
      </c>
      <c r="P100" s="171"/>
      <c r="Q100" s="31">
        <f t="shared" si="30"/>
        <v>0</v>
      </c>
      <c r="R100" s="31"/>
      <c r="S100" s="28">
        <f t="shared" si="21"/>
        <v>0</v>
      </c>
      <c r="T100" s="28">
        <f t="shared" si="22"/>
        <v>0</v>
      </c>
      <c r="U100" s="28">
        <f t="shared" si="23"/>
        <v>0</v>
      </c>
      <c r="V100" s="28">
        <f t="shared" si="24"/>
        <v>0</v>
      </c>
      <c r="W100" s="31">
        <f t="shared" si="26"/>
        <v>498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103.169</v>
      </c>
      <c r="AB100" s="708">
        <f>(SUMIF($D$2:$D$57,"termico",$S$2:$S$103)+SUMIF($D$2:$D$57,"electrico",$S$2:$S$103)+SUMIF($D$2:$D$57,"térmico",$S$2:$S$103))/1000</f>
        <v>103.169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0"/>
        <v>0</v>
      </c>
      <c r="L101" s="28">
        <f t="shared" si="25"/>
        <v>498</v>
      </c>
      <c r="M101" s="810"/>
      <c r="N101" s="810"/>
      <c r="O101" s="30">
        <f t="shared" si="31"/>
        <v>0</v>
      </c>
      <c r="P101" s="171"/>
      <c r="Q101" s="31">
        <f t="shared" si="30"/>
        <v>0</v>
      </c>
      <c r="R101" s="31"/>
      <c r="S101" s="28">
        <f t="shared" si="21"/>
        <v>0</v>
      </c>
      <c r="T101" s="28">
        <f t="shared" si="22"/>
        <v>0</v>
      </c>
      <c r="U101" s="28">
        <f t="shared" si="23"/>
        <v>0</v>
      </c>
      <c r="V101" s="28">
        <f t="shared" si="24"/>
        <v>0</v>
      </c>
      <c r="W101" s="31">
        <f t="shared" si="26"/>
        <v>498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0"/>
        <v>0</v>
      </c>
      <c r="L102" s="28">
        <f t="shared" si="25"/>
        <v>498</v>
      </c>
      <c r="M102" s="810"/>
      <c r="N102" s="810"/>
      <c r="O102" s="30">
        <f t="shared" si="31"/>
        <v>0</v>
      </c>
      <c r="P102" s="171"/>
      <c r="Q102" s="31">
        <f t="shared" si="30"/>
        <v>0</v>
      </c>
      <c r="R102" s="31"/>
      <c r="S102" s="28">
        <f t="shared" si="21"/>
        <v>0</v>
      </c>
      <c r="T102" s="28">
        <f t="shared" si="22"/>
        <v>0</v>
      </c>
      <c r="U102" s="28">
        <f t="shared" si="23"/>
        <v>0</v>
      </c>
      <c r="V102" s="28">
        <f t="shared" si="24"/>
        <v>0</v>
      </c>
      <c r="W102" s="31">
        <f t="shared" si="26"/>
        <v>498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34.4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0"/>
        <v>0</v>
      </c>
      <c r="L103" s="28">
        <f t="shared" si="25"/>
        <v>498</v>
      </c>
      <c r="M103" s="810"/>
      <c r="N103" s="810"/>
      <c r="O103" s="30">
        <f t="shared" si="31"/>
        <v>0</v>
      </c>
      <c r="P103" s="179"/>
      <c r="Q103" s="31">
        <f t="shared" si="30"/>
        <v>0</v>
      </c>
      <c r="R103" s="31"/>
      <c r="S103" s="28">
        <f t="shared" si="21"/>
        <v>0</v>
      </c>
      <c r="T103" s="28">
        <f t="shared" si="22"/>
        <v>0</v>
      </c>
      <c r="U103" s="28">
        <f t="shared" si="23"/>
        <v>0</v>
      </c>
      <c r="V103" s="28">
        <f t="shared" si="24"/>
        <v>0</v>
      </c>
      <c r="W103" s="31">
        <f t="shared" si="26"/>
        <v>498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151147</v>
      </c>
      <c r="I105" s="252">
        <f>+SUM(I2:I103)</f>
        <v>27715</v>
      </c>
      <c r="J105" s="252">
        <f>+SUM(J2:J103)</f>
        <v>34400</v>
      </c>
      <c r="K105" s="252">
        <f>SUM(K2:K103)</f>
        <v>213262</v>
      </c>
      <c r="L105" s="253">
        <f>+L103</f>
        <v>498</v>
      </c>
      <c r="M105" s="252">
        <f>SUM(M2:M103)</f>
        <v>0</v>
      </c>
      <c r="N105" s="252">
        <f>SUM(N2:N103)</f>
        <v>213262</v>
      </c>
      <c r="O105" s="252"/>
      <c r="P105" s="252">
        <f>SUM(P2:P103)</f>
        <v>0</v>
      </c>
      <c r="Q105" s="252">
        <f>SUM(Q2:Q103)</f>
        <v>0</v>
      </c>
      <c r="R105" s="252">
        <f>SUM(R2:R103)</f>
        <v>0</v>
      </c>
      <c r="S105" s="252">
        <f>SUM(S2:S103)</f>
        <v>151147</v>
      </c>
      <c r="T105" s="252">
        <f>+SUM(T2:T103)</f>
        <v>27715</v>
      </c>
      <c r="U105" s="252">
        <f>SUM(U2:U103)</f>
        <v>34400</v>
      </c>
      <c r="V105" s="252">
        <f>SUM(V2:V103)</f>
        <v>213262</v>
      </c>
      <c r="W105" s="254">
        <f>+W103</f>
        <v>498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>
        <v>141781</v>
      </c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>
        <f>H106-H105</f>
        <v>-9366</v>
      </c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192762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-14570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</mergeCells>
  <conditionalFormatting sqref="AA78">
    <cfRule type="cellIs" dxfId="24" priority="3" operator="lessThan">
      <formula>$AA$78</formula>
    </cfRule>
    <cfRule type="cellIs" dxfId="23" priority="5" operator="greaterThan">
      <formula>$AE$78</formula>
    </cfRule>
  </conditionalFormatting>
  <conditionalFormatting sqref="AA79">
    <cfRule type="cellIs" dxfId="22" priority="4" operator="greaterThan">
      <formula>$AE$79</formula>
    </cfRule>
  </conditionalFormatting>
  <conditionalFormatting sqref="AA80">
    <cfRule type="cellIs" dxfId="21" priority="2" operator="greaterThan">
      <formula>$AE$79</formula>
    </cfRule>
  </conditionalFormatting>
  <conditionalFormatting sqref="AU4:AU23">
    <cfRule type="cellIs" dxfId="2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86"/>
  <sheetViews>
    <sheetView topLeftCell="W1" zoomScale="90" zoomScaleNormal="90" workbookViewId="0">
      <selection activeCell="AH12" sqref="AH12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 t="shared" ref="K2:K65" si="0">SUM(H2:J2)</f>
        <v>3000</v>
      </c>
      <c r="L2" s="28">
        <f>AA4-K2</f>
        <v>210717</v>
      </c>
      <c r="M2" s="29"/>
      <c r="N2" s="798">
        <f>SUM(K2:K26)</f>
        <v>171536</v>
      </c>
      <c r="O2" s="30">
        <f t="shared" ref="O2:O17" si="1">+K2/$N$2</f>
        <v>1.7489040201473745E-2</v>
      </c>
      <c r="P2" s="801"/>
      <c r="Q2" s="31">
        <f t="shared" ref="Q2:Q15" si="2">IF($P$2=0,0,(-($P$2*O2)+K2)-K2)</f>
        <v>0</v>
      </c>
      <c r="R2" s="31"/>
      <c r="S2" s="28">
        <f t="shared" ref="S2:S65" si="3">IF(H2&lt;&gt;0,+H2+Q2+R2,0)</f>
        <v>3000</v>
      </c>
      <c r="T2" s="28">
        <f t="shared" ref="T2:T65" si="4">IF(I2&lt;&gt;0,+I2+Q2+R2,0)</f>
        <v>0</v>
      </c>
      <c r="U2" s="28">
        <f t="shared" ref="U2:U65" si="5">IF(J2&lt;&gt;0,+J2+Q2+R2,0)</f>
        <v>0</v>
      </c>
      <c r="V2" s="28">
        <f t="shared" ref="V2:V65" si="6">+S2+T2+U2</f>
        <v>3000</v>
      </c>
      <c r="W2" s="31">
        <f>Z24-V2</f>
        <v>210717</v>
      </c>
      <c r="X2" s="32">
        <f t="shared" ref="X2:X17" si="7"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57" t="s">
        <v>31</v>
      </c>
      <c r="AE2" s="757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si="0"/>
        <v>1100</v>
      </c>
      <c r="L3" s="28">
        <f t="shared" ref="L3:L66" si="8">+L2-K3</f>
        <v>209617</v>
      </c>
      <c r="M3" s="29"/>
      <c r="N3" s="799"/>
      <c r="O3" s="30">
        <f t="shared" si="1"/>
        <v>6.4126480738737057E-3</v>
      </c>
      <c r="P3" s="802"/>
      <c r="Q3" s="31">
        <f t="shared" si="2"/>
        <v>0</v>
      </c>
      <c r="R3" s="31"/>
      <c r="S3" s="28">
        <f t="shared" si="3"/>
        <v>0</v>
      </c>
      <c r="T3" s="28">
        <f t="shared" si="4"/>
        <v>1100</v>
      </c>
      <c r="U3" s="28">
        <f t="shared" si="5"/>
        <v>0</v>
      </c>
      <c r="V3" s="28">
        <f t="shared" si="6"/>
        <v>1100</v>
      </c>
      <c r="W3" s="31">
        <f t="shared" ref="W3:W66" si="9">+W2-V3</f>
        <v>209617</v>
      </c>
      <c r="X3" s="32">
        <f t="shared" si="7"/>
        <v>0</v>
      </c>
      <c r="Y3" s="37" t="s">
        <v>34</v>
      </c>
      <c r="Z3" s="38">
        <f>ROUND((Z13*57%),0)</f>
        <v>284088</v>
      </c>
      <c r="AA3" s="39">
        <f>ROUND((+Z14*0.57),0)</f>
        <v>283300</v>
      </c>
      <c r="AB3" s="454">
        <v>66091</v>
      </c>
      <c r="AC3" s="455">
        <v>157427</v>
      </c>
      <c r="AD3" s="40">
        <v>47126</v>
      </c>
      <c r="AE3" s="736">
        <f>SUM(AB3:AD3)</f>
        <v>270644</v>
      </c>
      <c r="AF3" s="41">
        <f>AA3-AE3</f>
        <v>12656</v>
      </c>
      <c r="AG3" s="42">
        <f>AA3-AB3-AC3-AD3</f>
        <v>12656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8"/>
        <v>198424</v>
      </c>
      <c r="M4" s="29"/>
      <c r="N4" s="799"/>
      <c r="O4" s="30">
        <f t="shared" si="1"/>
        <v>6.5251608991698531E-2</v>
      </c>
      <c r="P4" s="802"/>
      <c r="Q4" s="31">
        <f t="shared" si="2"/>
        <v>0</v>
      </c>
      <c r="R4" s="31"/>
      <c r="S4" s="28">
        <f t="shared" si="3"/>
        <v>0</v>
      </c>
      <c r="T4" s="28">
        <f t="shared" si="4"/>
        <v>11193</v>
      </c>
      <c r="U4" s="28">
        <f t="shared" si="5"/>
        <v>0</v>
      </c>
      <c r="V4" s="28">
        <f t="shared" si="6"/>
        <v>11193</v>
      </c>
      <c r="W4" s="31">
        <f t="shared" si="9"/>
        <v>198424</v>
      </c>
      <c r="X4" s="32">
        <f t="shared" si="7"/>
        <v>0</v>
      </c>
      <c r="Y4" s="37" t="s">
        <v>38</v>
      </c>
      <c r="Z4" s="38">
        <f>ROUND((Z13*43%),0)</f>
        <v>214312</v>
      </c>
      <c r="AA4" s="39">
        <f>ROUND((+Z14*0.43),0)</f>
        <v>213717</v>
      </c>
      <c r="AB4" s="43">
        <f>T105</f>
        <v>27806</v>
      </c>
      <c r="AC4" s="43">
        <f>S105</f>
        <v>153037</v>
      </c>
      <c r="AD4" s="40">
        <f>U105</f>
        <v>32874</v>
      </c>
      <c r="AE4" s="736">
        <f>SUM(AB4:AD4)</f>
        <v>213717</v>
      </c>
      <c r="AF4" s="41">
        <f>AA4-AE4</f>
        <v>0</v>
      </c>
      <c r="AG4" s="42">
        <f>AA4-AB4-AC4-AD4</f>
        <v>0</v>
      </c>
      <c r="AH4" s="751">
        <f>AG4/1000</f>
        <v>0</v>
      </c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8"/>
        <v>197224</v>
      </c>
      <c r="M5" s="29"/>
      <c r="N5" s="799"/>
      <c r="O5" s="30">
        <f t="shared" si="1"/>
        <v>6.9956160805894974E-3</v>
      </c>
      <c r="P5" s="802"/>
      <c r="Q5" s="31">
        <f t="shared" si="2"/>
        <v>0</v>
      </c>
      <c r="R5" s="31"/>
      <c r="S5" s="28">
        <f t="shared" si="3"/>
        <v>0</v>
      </c>
      <c r="T5" s="28">
        <f t="shared" si="4"/>
        <v>1200</v>
      </c>
      <c r="U5" s="28">
        <f t="shared" si="5"/>
        <v>0</v>
      </c>
      <c r="V5" s="28">
        <f t="shared" si="6"/>
        <v>1200</v>
      </c>
      <c r="W5" s="31">
        <f t="shared" si="9"/>
        <v>197224</v>
      </c>
      <c r="X5" s="32">
        <f t="shared" si="7"/>
        <v>0</v>
      </c>
      <c r="Y5" s="44" t="s">
        <v>41</v>
      </c>
      <c r="Z5" s="38">
        <f>SUM(Z3:Z4)</f>
        <v>498400</v>
      </c>
      <c r="AA5" s="45">
        <f>SUM(AA3:AA4)</f>
        <v>497017</v>
      </c>
      <c r="AB5" s="46">
        <f>SUM(AB3:AB4)</f>
        <v>93897</v>
      </c>
      <c r="AC5" s="41">
        <f>SUM(AC3:AC4)</f>
        <v>310464</v>
      </c>
      <c r="AD5" s="40">
        <f>SUM(AD3:AD4)</f>
        <v>80000</v>
      </c>
      <c r="AE5" s="41">
        <f>SUM(AB5:AD5)</f>
        <v>484361</v>
      </c>
      <c r="AF5" s="47">
        <f>SUM(AF3:AF4)</f>
        <v>12656</v>
      </c>
      <c r="AG5" s="47">
        <f>SUM(AG3:AG4)</f>
        <v>12656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8"/>
        <v>185224</v>
      </c>
      <c r="M6" s="29"/>
      <c r="N6" s="799"/>
      <c r="O6" s="30">
        <f t="shared" si="1"/>
        <v>6.9956160805894979E-2</v>
      </c>
      <c r="P6" s="802"/>
      <c r="Q6" s="31">
        <f t="shared" si="2"/>
        <v>0</v>
      </c>
      <c r="R6" s="48"/>
      <c r="S6" s="28">
        <f t="shared" si="3"/>
        <v>12000</v>
      </c>
      <c r="T6" s="28">
        <f t="shared" si="4"/>
        <v>0</v>
      </c>
      <c r="U6" s="28">
        <f t="shared" si="5"/>
        <v>0</v>
      </c>
      <c r="V6" s="28">
        <f t="shared" si="6"/>
        <v>12000</v>
      </c>
      <c r="W6" s="31">
        <f t="shared" si="9"/>
        <v>185224</v>
      </c>
      <c r="X6" s="32">
        <f t="shared" si="7"/>
        <v>0</v>
      </c>
      <c r="Z6" s="49">
        <f>5000*43%</f>
        <v>2150</v>
      </c>
      <c r="AA6" s="50"/>
      <c r="AB6" s="17"/>
      <c r="AC6" s="50"/>
      <c r="AD6" s="51">
        <f>80000-AD4</f>
        <v>47126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1940+11987</f>
        <v>13927</v>
      </c>
      <c r="I7" s="518">
        <f>800+460+2813</f>
        <v>4073</v>
      </c>
      <c r="J7" s="26"/>
      <c r="K7" s="27">
        <f t="shared" si="0"/>
        <v>18000</v>
      </c>
      <c r="L7" s="28">
        <f t="shared" si="8"/>
        <v>167224</v>
      </c>
      <c r="M7" s="29"/>
      <c r="N7" s="799"/>
      <c r="O7" s="30">
        <f t="shared" si="1"/>
        <v>0.10493424120884245</v>
      </c>
      <c r="P7" s="802"/>
      <c r="Q7" s="31">
        <f t="shared" si="2"/>
        <v>0</v>
      </c>
      <c r="R7" s="31"/>
      <c r="S7" s="28">
        <f t="shared" si="3"/>
        <v>13927</v>
      </c>
      <c r="T7" s="28">
        <f t="shared" si="4"/>
        <v>4073</v>
      </c>
      <c r="U7" s="28">
        <f t="shared" si="5"/>
        <v>0</v>
      </c>
      <c r="V7" s="28">
        <f t="shared" si="6"/>
        <v>18000</v>
      </c>
      <c r="W7" s="31">
        <f t="shared" si="9"/>
        <v>167224</v>
      </c>
      <c r="X7" s="32">
        <f t="shared" si="7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8"/>
        <v>164724</v>
      </c>
      <c r="M8" s="29"/>
      <c r="N8" s="799"/>
      <c r="O8" s="30">
        <f t="shared" si="1"/>
        <v>1.4574200167894786E-2</v>
      </c>
      <c r="P8" s="802"/>
      <c r="Q8" s="31">
        <f t="shared" si="2"/>
        <v>0</v>
      </c>
      <c r="R8" s="31"/>
      <c r="S8" s="28">
        <f t="shared" si="3"/>
        <v>2500</v>
      </c>
      <c r="T8" s="28">
        <f t="shared" si="4"/>
        <v>0</v>
      </c>
      <c r="U8" s="28">
        <f t="shared" si="5"/>
        <v>0</v>
      </c>
      <c r="V8" s="28">
        <f t="shared" si="6"/>
        <v>2500</v>
      </c>
      <c r="W8" s="31">
        <f t="shared" si="9"/>
        <v>164724</v>
      </c>
      <c r="X8" s="32">
        <f t="shared" si="7"/>
        <v>0</v>
      </c>
      <c r="Y8" s="14" t="s">
        <v>47</v>
      </c>
      <c r="Z8" s="732">
        <f ca="1">TODAY()+1</f>
        <v>41938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290</v>
      </c>
      <c r="I9" s="518">
        <v>1910</v>
      </c>
      <c r="J9" s="26"/>
      <c r="K9" s="27">
        <f t="shared" si="0"/>
        <v>2200</v>
      </c>
      <c r="L9" s="28">
        <f t="shared" si="8"/>
        <v>162524</v>
      </c>
      <c r="M9" s="29"/>
      <c r="N9" s="799"/>
      <c r="O9" s="30">
        <f t="shared" si="1"/>
        <v>1.2825296147747411E-2</v>
      </c>
      <c r="P9" s="802"/>
      <c r="Q9" s="31">
        <f t="shared" si="2"/>
        <v>0</v>
      </c>
      <c r="R9" s="31"/>
      <c r="S9" s="28">
        <f t="shared" si="3"/>
        <v>290</v>
      </c>
      <c r="T9" s="28">
        <f t="shared" si="4"/>
        <v>1910</v>
      </c>
      <c r="U9" s="28">
        <f t="shared" si="5"/>
        <v>0</v>
      </c>
      <c r="V9" s="28">
        <f t="shared" si="6"/>
        <v>2200</v>
      </c>
      <c r="W9" s="31">
        <f t="shared" si="9"/>
        <v>162524</v>
      </c>
      <c r="X9" s="32">
        <f t="shared" si="7"/>
        <v>0</v>
      </c>
      <c r="Y9" s="14" t="s">
        <v>189</v>
      </c>
      <c r="Z9" s="58">
        <v>498400</v>
      </c>
      <c r="AA9" s="59">
        <f>Z9*14.65/14.73</f>
        <v>495693.14324507804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8"/>
        <v>142524</v>
      </c>
      <c r="M10" s="29"/>
      <c r="N10" s="799"/>
      <c r="O10" s="30">
        <f t="shared" si="1"/>
        <v>0.11659360134315828</v>
      </c>
      <c r="P10" s="802"/>
      <c r="Q10" s="31">
        <f t="shared" si="2"/>
        <v>0</v>
      </c>
      <c r="R10" s="31">
        <v>0</v>
      </c>
      <c r="S10" s="28">
        <f t="shared" si="3"/>
        <v>15000</v>
      </c>
      <c r="T10" s="28">
        <f t="shared" si="4"/>
        <v>5000</v>
      </c>
      <c r="U10" s="28">
        <f t="shared" si="5"/>
        <v>0</v>
      </c>
      <c r="V10" s="28">
        <f t="shared" si="6"/>
        <v>20000</v>
      </c>
      <c r="W10" s="31">
        <f t="shared" si="9"/>
        <v>142524</v>
      </c>
      <c r="X10" s="32">
        <f t="shared" si="7"/>
        <v>0</v>
      </c>
      <c r="Y10" s="14" t="s">
        <v>191</v>
      </c>
      <c r="Z10" s="58">
        <f>ROUND((Z9*Z30),0)</f>
        <v>497017</v>
      </c>
      <c r="AA10" s="59">
        <f>Z10*14.65/14.73</f>
        <v>494317.6544467074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8"/>
        <v>124524</v>
      </c>
      <c r="M11" s="29"/>
      <c r="N11" s="799"/>
      <c r="O11" s="30">
        <f t="shared" si="1"/>
        <v>0.10493424120884245</v>
      </c>
      <c r="P11" s="802"/>
      <c r="Q11" s="31">
        <f t="shared" si="2"/>
        <v>0</v>
      </c>
      <c r="R11" s="31">
        <v>0</v>
      </c>
      <c r="S11" s="28">
        <f t="shared" si="3"/>
        <v>18000</v>
      </c>
      <c r="T11" s="28">
        <f t="shared" si="4"/>
        <v>0</v>
      </c>
      <c r="U11" s="28">
        <f t="shared" si="5"/>
        <v>0</v>
      </c>
      <c r="V11" s="28">
        <f t="shared" si="6"/>
        <v>18000</v>
      </c>
      <c r="W11" s="31">
        <f t="shared" si="9"/>
        <v>124524</v>
      </c>
      <c r="X11" s="32">
        <f t="shared" si="7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8"/>
        <v>120924</v>
      </c>
      <c r="M12" s="29"/>
      <c r="N12" s="799"/>
      <c r="O12" s="30">
        <f t="shared" si="1"/>
        <v>2.0986848241768493E-2</v>
      </c>
      <c r="P12" s="802"/>
      <c r="Q12" s="31">
        <f t="shared" si="2"/>
        <v>0</v>
      </c>
      <c r="R12" s="31">
        <v>0</v>
      </c>
      <c r="S12" s="28">
        <f t="shared" si="3"/>
        <v>3600</v>
      </c>
      <c r="T12" s="28">
        <f t="shared" si="4"/>
        <v>0</v>
      </c>
      <c r="U12" s="28">
        <f t="shared" si="5"/>
        <v>0</v>
      </c>
      <c r="V12" s="28">
        <f t="shared" si="6"/>
        <v>3600</v>
      </c>
      <c r="W12" s="31">
        <f t="shared" si="9"/>
        <v>120924</v>
      </c>
      <c r="X12" s="32">
        <f t="shared" si="7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8"/>
        <v>114924</v>
      </c>
      <c r="M13" s="29"/>
      <c r="N13" s="799"/>
      <c r="O13" s="30">
        <f t="shared" si="1"/>
        <v>3.497808040294749E-2</v>
      </c>
      <c r="P13" s="802"/>
      <c r="Q13" s="31">
        <f t="shared" si="2"/>
        <v>0</v>
      </c>
      <c r="R13" s="31">
        <v>0</v>
      </c>
      <c r="S13" s="28">
        <f t="shared" si="3"/>
        <v>6000</v>
      </c>
      <c r="T13" s="28">
        <f t="shared" si="4"/>
        <v>0</v>
      </c>
      <c r="U13" s="28">
        <f t="shared" si="5"/>
        <v>0</v>
      </c>
      <c r="V13" s="28">
        <f t="shared" si="6"/>
        <v>6000</v>
      </c>
      <c r="W13" s="31">
        <f t="shared" si="9"/>
        <v>114924</v>
      </c>
      <c r="X13" s="32">
        <f t="shared" si="7"/>
        <v>0</v>
      </c>
      <c r="Y13" s="14" t="s">
        <v>67</v>
      </c>
      <c r="Z13" s="67">
        <f>Z14/Z30</f>
        <v>498399.51744236558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/>
      <c r="I14" s="26">
        <v>0</v>
      </c>
      <c r="J14" s="26"/>
      <c r="K14" s="27">
        <f t="shared" si="0"/>
        <v>0</v>
      </c>
      <c r="L14" s="28">
        <f t="shared" si="8"/>
        <v>114924</v>
      </c>
      <c r="M14" s="29"/>
      <c r="N14" s="799"/>
      <c r="O14" s="30">
        <f t="shared" si="1"/>
        <v>0</v>
      </c>
      <c r="P14" s="802"/>
      <c r="Q14" s="31">
        <f t="shared" si="2"/>
        <v>0</v>
      </c>
      <c r="R14" s="31">
        <v>0</v>
      </c>
      <c r="S14" s="28">
        <f t="shared" si="3"/>
        <v>0</v>
      </c>
      <c r="T14" s="28">
        <f t="shared" si="4"/>
        <v>0</v>
      </c>
      <c r="U14" s="28">
        <f t="shared" si="5"/>
        <v>0</v>
      </c>
      <c r="V14" s="28">
        <f t="shared" si="6"/>
        <v>0</v>
      </c>
      <c r="W14" s="31">
        <f t="shared" si="9"/>
        <v>114924</v>
      </c>
      <c r="X14" s="32">
        <f t="shared" si="7"/>
        <v>0</v>
      </c>
      <c r="Y14" s="14" t="s">
        <v>70</v>
      </c>
      <c r="Z14" s="67">
        <f>+Z10-(Z11+Z12)</f>
        <v>497017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11343</v>
      </c>
      <c r="I15" s="26"/>
      <c r="J15" s="26"/>
      <c r="K15" s="27">
        <f t="shared" si="0"/>
        <v>11343</v>
      </c>
      <c r="L15" s="28">
        <f t="shared" si="8"/>
        <v>103581</v>
      </c>
      <c r="M15" s="29"/>
      <c r="N15" s="799"/>
      <c r="O15" s="30">
        <f t="shared" si="1"/>
        <v>6.6126061001772221E-2</v>
      </c>
      <c r="P15" s="802"/>
      <c r="Q15" s="31">
        <f t="shared" si="2"/>
        <v>0</v>
      </c>
      <c r="R15" s="31">
        <v>0</v>
      </c>
      <c r="S15" s="28">
        <f t="shared" si="3"/>
        <v>11343</v>
      </c>
      <c r="T15" s="28">
        <f t="shared" si="4"/>
        <v>0</v>
      </c>
      <c r="U15" s="28">
        <f t="shared" si="5"/>
        <v>0</v>
      </c>
      <c r="V15" s="28">
        <f t="shared" si="6"/>
        <v>11343</v>
      </c>
      <c r="W15" s="31">
        <f t="shared" si="9"/>
        <v>103581</v>
      </c>
      <c r="X15" s="32">
        <f t="shared" si="7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/>
      <c r="I16" s="26"/>
      <c r="J16" s="26"/>
      <c r="K16" s="27">
        <f t="shared" si="0"/>
        <v>0</v>
      </c>
      <c r="L16" s="28">
        <f t="shared" si="8"/>
        <v>103581</v>
      </c>
      <c r="M16" s="29"/>
      <c r="N16" s="799"/>
      <c r="O16" s="30">
        <f t="shared" si="1"/>
        <v>0</v>
      </c>
      <c r="P16" s="802"/>
      <c r="Q16" s="31">
        <v>0</v>
      </c>
      <c r="R16" s="31">
        <v>0</v>
      </c>
      <c r="S16" s="28">
        <f t="shared" si="3"/>
        <v>0</v>
      </c>
      <c r="T16" s="28">
        <f t="shared" si="4"/>
        <v>0</v>
      </c>
      <c r="U16" s="28">
        <f t="shared" si="5"/>
        <v>0</v>
      </c>
      <c r="V16" s="28">
        <f t="shared" si="6"/>
        <v>0</v>
      </c>
      <c r="W16" s="31">
        <f t="shared" si="9"/>
        <v>103581</v>
      </c>
      <c r="X16" s="32">
        <f t="shared" si="7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3000</v>
      </c>
      <c r="J17" s="26"/>
      <c r="K17" s="27">
        <f t="shared" si="0"/>
        <v>3000</v>
      </c>
      <c r="L17" s="28">
        <f t="shared" si="8"/>
        <v>100581</v>
      </c>
      <c r="M17" s="29"/>
      <c r="N17" s="799"/>
      <c r="O17" s="30">
        <f t="shared" si="1"/>
        <v>1.7489040201473745E-2</v>
      </c>
      <c r="P17" s="802"/>
      <c r="Q17" s="31">
        <f t="shared" ref="Q17:Q29" si="10">IF($P$2=0,0,(-($P$2*O17)+K17)-K17)</f>
        <v>0</v>
      </c>
      <c r="R17" s="31">
        <v>0</v>
      </c>
      <c r="S17" s="28">
        <f t="shared" si="3"/>
        <v>0</v>
      </c>
      <c r="T17" s="28">
        <f t="shared" si="4"/>
        <v>3000</v>
      </c>
      <c r="U17" s="28">
        <f t="shared" si="5"/>
        <v>0</v>
      </c>
      <c r="V17" s="28">
        <f t="shared" si="6"/>
        <v>3000</v>
      </c>
      <c r="W17" s="31">
        <f t="shared" si="9"/>
        <v>100581</v>
      </c>
      <c r="X17" s="32">
        <f t="shared" si="7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330</v>
      </c>
      <c r="J18" s="26"/>
      <c r="K18" s="27">
        <f t="shared" si="0"/>
        <v>330</v>
      </c>
      <c r="L18" s="28">
        <f t="shared" si="8"/>
        <v>100251</v>
      </c>
      <c r="M18" s="29"/>
      <c r="N18" s="799"/>
      <c r="O18" s="30"/>
      <c r="P18" s="802"/>
      <c r="Q18" s="31">
        <f t="shared" si="10"/>
        <v>0</v>
      </c>
      <c r="R18" s="31">
        <v>0</v>
      </c>
      <c r="S18" s="28">
        <f t="shared" si="3"/>
        <v>0</v>
      </c>
      <c r="T18" s="28">
        <f t="shared" si="4"/>
        <v>330</v>
      </c>
      <c r="U18" s="28">
        <f t="shared" si="5"/>
        <v>0</v>
      </c>
      <c r="V18" s="28">
        <f t="shared" si="6"/>
        <v>330</v>
      </c>
      <c r="W18" s="31">
        <f t="shared" si="9"/>
        <v>100251</v>
      </c>
      <c r="X18" s="32"/>
      <c r="Y18" s="14" t="s">
        <v>77</v>
      </c>
      <c r="Z18" s="71">
        <f>ROUND(Z14*0.43,0)</f>
        <v>213717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2670</v>
      </c>
      <c r="I19" s="26"/>
      <c r="J19" s="26"/>
      <c r="K19" s="27">
        <f t="shared" si="0"/>
        <v>2670</v>
      </c>
      <c r="L19" s="28">
        <f t="shared" si="8"/>
        <v>97581</v>
      </c>
      <c r="M19" s="29"/>
      <c r="N19" s="799"/>
      <c r="O19" s="30">
        <f>+K19/$N$2</f>
        <v>1.5565245779311631E-2</v>
      </c>
      <c r="P19" s="802"/>
      <c r="Q19" s="31">
        <f t="shared" si="10"/>
        <v>0</v>
      </c>
      <c r="R19" s="31">
        <v>0</v>
      </c>
      <c r="S19" s="28">
        <f t="shared" si="3"/>
        <v>2670</v>
      </c>
      <c r="T19" s="28">
        <f t="shared" si="4"/>
        <v>0</v>
      </c>
      <c r="U19" s="28">
        <f t="shared" si="5"/>
        <v>0</v>
      </c>
      <c r="V19" s="28">
        <f t="shared" si="6"/>
        <v>2670</v>
      </c>
      <c r="W19" s="31">
        <f t="shared" si="9"/>
        <v>97581</v>
      </c>
      <c r="X19" s="32">
        <f>W19-L19</f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8"/>
        <v>96081</v>
      </c>
      <c r="M20" s="29"/>
      <c r="N20" s="799"/>
      <c r="O20" s="30">
        <f>+K20/$N$2</f>
        <v>8.7445201007368724E-3</v>
      </c>
      <c r="P20" s="802"/>
      <c r="Q20" s="31">
        <f t="shared" si="10"/>
        <v>0</v>
      </c>
      <c r="R20" s="31">
        <v>0</v>
      </c>
      <c r="S20" s="28">
        <f t="shared" si="3"/>
        <v>1500</v>
      </c>
      <c r="T20" s="28">
        <f t="shared" si="4"/>
        <v>0</v>
      </c>
      <c r="U20" s="28">
        <f t="shared" si="5"/>
        <v>0</v>
      </c>
      <c r="V20" s="28">
        <f t="shared" si="6"/>
        <v>1500</v>
      </c>
      <c r="W20" s="31">
        <f t="shared" si="9"/>
        <v>96081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8"/>
        <v>96081</v>
      </c>
      <c r="M21" s="29"/>
      <c r="N21" s="799"/>
      <c r="O21" s="30"/>
      <c r="P21" s="802"/>
      <c r="Q21" s="31">
        <f t="shared" si="10"/>
        <v>0</v>
      </c>
      <c r="R21" s="31">
        <v>0</v>
      </c>
      <c r="S21" s="28">
        <f t="shared" si="3"/>
        <v>0</v>
      </c>
      <c r="T21" s="28">
        <f t="shared" si="4"/>
        <v>0</v>
      </c>
      <c r="U21" s="28">
        <f t="shared" si="5"/>
        <v>0</v>
      </c>
      <c r="V21" s="28">
        <f t="shared" si="6"/>
        <v>0</v>
      </c>
      <c r="W21" s="31">
        <f t="shared" si="9"/>
        <v>96081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8"/>
        <v>88581</v>
      </c>
      <c r="M22" s="29"/>
      <c r="N22" s="799"/>
      <c r="O22" s="30">
        <f>+K22/$N$2</f>
        <v>4.3722600503684358E-2</v>
      </c>
      <c r="P22" s="802"/>
      <c r="Q22" s="31">
        <f t="shared" si="10"/>
        <v>0</v>
      </c>
      <c r="R22" s="31">
        <v>0</v>
      </c>
      <c r="S22" s="28">
        <f t="shared" si="3"/>
        <v>7500</v>
      </c>
      <c r="T22" s="28">
        <f t="shared" si="4"/>
        <v>0</v>
      </c>
      <c r="U22" s="28">
        <f t="shared" si="5"/>
        <v>0</v>
      </c>
      <c r="V22" s="28">
        <f t="shared" si="6"/>
        <v>7500</v>
      </c>
      <c r="W22" s="31">
        <f t="shared" si="9"/>
        <v>88581</v>
      </c>
      <c r="X22" s="32">
        <f>W22-L22</f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8"/>
        <v>88581</v>
      </c>
      <c r="M23" s="29"/>
      <c r="N23" s="799"/>
      <c r="O23" s="30"/>
      <c r="P23" s="802"/>
      <c r="Q23" s="31">
        <f t="shared" si="10"/>
        <v>0</v>
      </c>
      <c r="R23" s="31"/>
      <c r="S23" s="28">
        <f t="shared" si="3"/>
        <v>0</v>
      </c>
      <c r="T23" s="28">
        <f t="shared" si="4"/>
        <v>0</v>
      </c>
      <c r="U23" s="28">
        <f t="shared" si="5"/>
        <v>0</v>
      </c>
      <c r="V23" s="28">
        <f t="shared" si="6"/>
        <v>0</v>
      </c>
      <c r="W23" s="31">
        <f t="shared" si="9"/>
        <v>88581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8"/>
        <v>88581</v>
      </c>
      <c r="M24" s="29"/>
      <c r="N24" s="799"/>
      <c r="O24" s="30">
        <f t="shared" ref="O24:O29" si="11">+K24/$N$2</f>
        <v>0</v>
      </c>
      <c r="P24" s="802"/>
      <c r="Q24" s="31">
        <f t="shared" si="10"/>
        <v>0</v>
      </c>
      <c r="R24" s="31">
        <v>0</v>
      </c>
      <c r="S24" s="28">
        <f t="shared" si="3"/>
        <v>0</v>
      </c>
      <c r="T24" s="28">
        <f t="shared" si="4"/>
        <v>0</v>
      </c>
      <c r="U24" s="28">
        <f t="shared" si="5"/>
        <v>0</v>
      </c>
      <c r="V24" s="28">
        <f t="shared" si="6"/>
        <v>0</v>
      </c>
      <c r="W24" s="31">
        <f t="shared" si="9"/>
        <v>88581</v>
      </c>
      <c r="X24" s="32">
        <f t="shared" ref="X24:X39" si="12">W24-L24</f>
        <v>0</v>
      </c>
      <c r="Y24" s="74" t="s">
        <v>169</v>
      </c>
      <c r="Z24" s="680">
        <f>+Z18+Z19</f>
        <v>213717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8"/>
        <v>76581</v>
      </c>
      <c r="M25" s="29"/>
      <c r="N25" s="799"/>
      <c r="O25" s="30">
        <f t="shared" si="11"/>
        <v>6.9956160805894979E-2</v>
      </c>
      <c r="P25" s="802"/>
      <c r="Q25" s="31">
        <f t="shared" si="10"/>
        <v>0</v>
      </c>
      <c r="R25" s="31"/>
      <c r="S25" s="28">
        <f t="shared" si="3"/>
        <v>12000</v>
      </c>
      <c r="T25" s="28">
        <f t="shared" si="4"/>
        <v>0</v>
      </c>
      <c r="U25" s="28">
        <f t="shared" si="5"/>
        <v>0</v>
      </c>
      <c r="V25" s="28">
        <f t="shared" si="6"/>
        <v>12000</v>
      </c>
      <c r="W25" s="31">
        <f t="shared" si="9"/>
        <v>76581</v>
      </c>
      <c r="X25" s="32">
        <f t="shared" si="12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8"/>
        <v>42181</v>
      </c>
      <c r="M26" s="86"/>
      <c r="N26" s="800"/>
      <c r="O26" s="87">
        <f t="shared" si="11"/>
        <v>0.20054099431023226</v>
      </c>
      <c r="P26" s="803"/>
      <c r="Q26" s="144">
        <f t="shared" si="10"/>
        <v>0</v>
      </c>
      <c r="R26" s="144">
        <f>32874-34400</f>
        <v>-1526</v>
      </c>
      <c r="S26" s="423">
        <f t="shared" si="3"/>
        <v>0</v>
      </c>
      <c r="T26" s="423">
        <f t="shared" si="4"/>
        <v>0</v>
      </c>
      <c r="U26" s="423">
        <f t="shared" si="5"/>
        <v>32874</v>
      </c>
      <c r="V26" s="423">
        <f t="shared" si="6"/>
        <v>32874</v>
      </c>
      <c r="W26" s="144">
        <f t="shared" si="9"/>
        <v>43707</v>
      </c>
      <c r="X26" s="32">
        <f t="shared" si="12"/>
        <v>1526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8"/>
        <v>42181</v>
      </c>
      <c r="M27" s="95"/>
      <c r="N27" s="804">
        <f>SUM(K27:K49)</f>
        <v>41707</v>
      </c>
      <c r="O27" s="96">
        <f t="shared" si="11"/>
        <v>0</v>
      </c>
      <c r="P27" s="805"/>
      <c r="Q27" s="97">
        <f t="shared" si="10"/>
        <v>0</v>
      </c>
      <c r="R27" s="157"/>
      <c r="S27" s="422">
        <f t="shared" si="3"/>
        <v>0</v>
      </c>
      <c r="T27" s="422">
        <f t="shared" si="4"/>
        <v>0</v>
      </c>
      <c r="U27" s="422">
        <f t="shared" si="5"/>
        <v>0</v>
      </c>
      <c r="V27" s="422">
        <f t="shared" si="6"/>
        <v>0</v>
      </c>
      <c r="W27" s="97">
        <f t="shared" si="9"/>
        <v>43707</v>
      </c>
      <c r="X27" s="32">
        <f t="shared" si="12"/>
        <v>1526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8"/>
        <v>42181</v>
      </c>
      <c r="M28" s="29"/>
      <c r="N28" s="799"/>
      <c r="O28" s="30">
        <f t="shared" si="11"/>
        <v>0</v>
      </c>
      <c r="P28" s="802"/>
      <c r="Q28" s="31">
        <f t="shared" si="10"/>
        <v>0</v>
      </c>
      <c r="R28" s="31"/>
      <c r="S28" s="28">
        <f t="shared" si="3"/>
        <v>0</v>
      </c>
      <c r="T28" s="28">
        <f t="shared" si="4"/>
        <v>0</v>
      </c>
      <c r="U28" s="28">
        <f t="shared" si="5"/>
        <v>0</v>
      </c>
      <c r="V28" s="28">
        <f t="shared" si="6"/>
        <v>0</v>
      </c>
      <c r="W28" s="31">
        <f t="shared" si="9"/>
        <v>43707</v>
      </c>
      <c r="X28" s="32">
        <f t="shared" si="12"/>
        <v>1526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8"/>
        <v>42181</v>
      </c>
      <c r="M29" s="29"/>
      <c r="N29" s="799"/>
      <c r="O29" s="30">
        <f t="shared" si="11"/>
        <v>0</v>
      </c>
      <c r="P29" s="802"/>
      <c r="Q29" s="31">
        <f t="shared" si="10"/>
        <v>0</v>
      </c>
      <c r="R29" s="31"/>
      <c r="S29" s="28">
        <f t="shared" si="3"/>
        <v>0</v>
      </c>
      <c r="T29" s="28">
        <f t="shared" si="4"/>
        <v>0</v>
      </c>
      <c r="U29" s="28">
        <f t="shared" si="5"/>
        <v>0</v>
      </c>
      <c r="V29" s="28">
        <f t="shared" si="6"/>
        <v>0</v>
      </c>
      <c r="W29" s="31">
        <f t="shared" si="9"/>
        <v>43707</v>
      </c>
      <c r="X29" s="32">
        <f t="shared" si="12"/>
        <v>1526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8"/>
        <v>42181</v>
      </c>
      <c r="M30" s="29"/>
      <c r="N30" s="799"/>
      <c r="O30" s="30">
        <f t="shared" ref="O30:O39" si="13">+K30/$N$27</f>
        <v>0</v>
      </c>
      <c r="P30" s="802"/>
      <c r="Q30" s="31">
        <f t="shared" ref="Q30:Q39" si="14">IF($P$30=0,0,(-($P$30*O30)+K30)-K30)</f>
        <v>0</v>
      </c>
      <c r="R30" s="31"/>
      <c r="S30" s="28">
        <f t="shared" si="3"/>
        <v>0</v>
      </c>
      <c r="T30" s="28">
        <f t="shared" si="4"/>
        <v>0</v>
      </c>
      <c r="U30" s="28">
        <f t="shared" si="5"/>
        <v>0</v>
      </c>
      <c r="V30" s="28">
        <f t="shared" si="6"/>
        <v>0</v>
      </c>
      <c r="W30" s="31">
        <f t="shared" si="9"/>
        <v>43707</v>
      </c>
      <c r="X30" s="32">
        <f t="shared" si="12"/>
        <v>1526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8"/>
        <v>42181</v>
      </c>
      <c r="M31" s="29"/>
      <c r="N31" s="799"/>
      <c r="O31" s="30">
        <f t="shared" si="13"/>
        <v>0</v>
      </c>
      <c r="P31" s="802"/>
      <c r="Q31" s="31">
        <f t="shared" si="14"/>
        <v>0</v>
      </c>
      <c r="R31" s="31"/>
      <c r="S31" s="28">
        <f t="shared" si="3"/>
        <v>0</v>
      </c>
      <c r="T31" s="28">
        <f t="shared" si="4"/>
        <v>0</v>
      </c>
      <c r="U31" s="28">
        <f t="shared" si="5"/>
        <v>0</v>
      </c>
      <c r="V31" s="28">
        <f t="shared" si="6"/>
        <v>0</v>
      </c>
      <c r="W31" s="31">
        <f t="shared" si="9"/>
        <v>43707</v>
      </c>
      <c r="X31" s="32">
        <f t="shared" si="12"/>
        <v>1526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8"/>
        <v>42181</v>
      </c>
      <c r="M32" s="29"/>
      <c r="N32" s="799"/>
      <c r="O32" s="30">
        <f t="shared" si="13"/>
        <v>0</v>
      </c>
      <c r="P32" s="802"/>
      <c r="Q32" s="31">
        <f t="shared" si="14"/>
        <v>0</v>
      </c>
      <c r="R32" s="31"/>
      <c r="S32" s="28">
        <f t="shared" si="3"/>
        <v>0</v>
      </c>
      <c r="T32" s="28">
        <f t="shared" si="4"/>
        <v>0</v>
      </c>
      <c r="U32" s="28">
        <f t="shared" si="5"/>
        <v>0</v>
      </c>
      <c r="V32" s="28">
        <f t="shared" si="6"/>
        <v>0</v>
      </c>
      <c r="W32" s="31">
        <f t="shared" si="9"/>
        <v>43707</v>
      </c>
      <c r="X32" s="32">
        <f t="shared" si="12"/>
        <v>1526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8"/>
        <v>42181</v>
      </c>
      <c r="M33" s="29"/>
      <c r="N33" s="799"/>
      <c r="O33" s="30">
        <f t="shared" si="13"/>
        <v>0</v>
      </c>
      <c r="P33" s="802"/>
      <c r="Q33" s="31">
        <f t="shared" si="14"/>
        <v>0</v>
      </c>
      <c r="R33" s="31"/>
      <c r="S33" s="28">
        <f t="shared" si="3"/>
        <v>0</v>
      </c>
      <c r="T33" s="28">
        <f t="shared" si="4"/>
        <v>0</v>
      </c>
      <c r="U33" s="28">
        <f t="shared" si="5"/>
        <v>0</v>
      </c>
      <c r="V33" s="28">
        <f t="shared" si="6"/>
        <v>0</v>
      </c>
      <c r="W33" s="31">
        <f t="shared" si="9"/>
        <v>43707</v>
      </c>
      <c r="X33" s="32">
        <f t="shared" si="12"/>
        <v>1526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8"/>
        <v>42181</v>
      </c>
      <c r="M34" s="29"/>
      <c r="N34" s="799"/>
      <c r="O34" s="30">
        <f t="shared" si="13"/>
        <v>0</v>
      </c>
      <c r="P34" s="802"/>
      <c r="Q34" s="31">
        <f t="shared" si="14"/>
        <v>0</v>
      </c>
      <c r="R34" s="31"/>
      <c r="S34" s="28">
        <f t="shared" si="3"/>
        <v>0</v>
      </c>
      <c r="T34" s="28">
        <f t="shared" si="4"/>
        <v>0</v>
      </c>
      <c r="U34" s="28">
        <f t="shared" si="5"/>
        <v>0</v>
      </c>
      <c r="V34" s="28">
        <f t="shared" si="6"/>
        <v>0</v>
      </c>
      <c r="W34" s="31">
        <f t="shared" si="9"/>
        <v>43707</v>
      </c>
      <c r="X34" s="32">
        <f t="shared" si="12"/>
        <v>1526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8"/>
        <v>42181</v>
      </c>
      <c r="M35" s="29"/>
      <c r="N35" s="799"/>
      <c r="O35" s="30">
        <f t="shared" si="13"/>
        <v>0</v>
      </c>
      <c r="P35" s="802"/>
      <c r="Q35" s="31">
        <f t="shared" si="14"/>
        <v>0</v>
      </c>
      <c r="R35" s="31"/>
      <c r="S35" s="28">
        <f t="shared" si="3"/>
        <v>0</v>
      </c>
      <c r="T35" s="28">
        <f t="shared" si="4"/>
        <v>0</v>
      </c>
      <c r="U35" s="28">
        <f t="shared" si="5"/>
        <v>0</v>
      </c>
      <c r="V35" s="28">
        <f t="shared" si="6"/>
        <v>0</v>
      </c>
      <c r="W35" s="31">
        <f t="shared" si="9"/>
        <v>43707</v>
      </c>
      <c r="X35" s="32">
        <f t="shared" si="12"/>
        <v>1526</v>
      </c>
      <c r="Y35" s="117" t="s">
        <v>56</v>
      </c>
      <c r="Z35" s="113">
        <f>Z34*43%</f>
        <v>34400</v>
      </c>
      <c r="AA35" s="113">
        <f>AD4-Z35</f>
        <v>-1526</v>
      </c>
      <c r="AB35" s="113">
        <f>Z35+AA35</f>
        <v>32874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8"/>
        <v>42181</v>
      </c>
      <c r="M36" s="29"/>
      <c r="N36" s="799"/>
      <c r="O36" s="30">
        <f t="shared" si="13"/>
        <v>0</v>
      </c>
      <c r="P36" s="802"/>
      <c r="Q36" s="31">
        <f t="shared" si="14"/>
        <v>0</v>
      </c>
      <c r="R36" s="31"/>
      <c r="S36" s="28">
        <f t="shared" si="3"/>
        <v>0</v>
      </c>
      <c r="T36" s="28">
        <f t="shared" si="4"/>
        <v>0</v>
      </c>
      <c r="U36" s="28">
        <f t="shared" si="5"/>
        <v>0</v>
      </c>
      <c r="V36" s="28">
        <f t="shared" si="6"/>
        <v>0</v>
      </c>
      <c r="W36" s="31">
        <f t="shared" si="9"/>
        <v>43707</v>
      </c>
      <c r="X36" s="32">
        <f t="shared" si="12"/>
        <v>1526</v>
      </c>
      <c r="Y36" s="117" t="s">
        <v>60</v>
      </c>
      <c r="Z36" s="113">
        <f>Z34*57%</f>
        <v>45599.999999999993</v>
      </c>
      <c r="AA36" s="113">
        <f>AD3-Z36</f>
        <v>1526.0000000000073</v>
      </c>
      <c r="AB36" s="113">
        <f>Z36+AA36</f>
        <v>47126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8"/>
        <v>42181</v>
      </c>
      <c r="M37" s="29"/>
      <c r="N37" s="799"/>
      <c r="O37" s="30">
        <f t="shared" si="13"/>
        <v>0</v>
      </c>
      <c r="P37" s="802"/>
      <c r="Q37" s="31">
        <f t="shared" si="14"/>
        <v>0</v>
      </c>
      <c r="R37" s="31"/>
      <c r="S37" s="28">
        <f t="shared" si="3"/>
        <v>0</v>
      </c>
      <c r="T37" s="28">
        <f t="shared" si="4"/>
        <v>0</v>
      </c>
      <c r="U37" s="28">
        <f t="shared" si="5"/>
        <v>0</v>
      </c>
      <c r="V37" s="28">
        <f t="shared" si="6"/>
        <v>0</v>
      </c>
      <c r="W37" s="31">
        <f t="shared" si="9"/>
        <v>43707</v>
      </c>
      <c r="X37" s="32">
        <f t="shared" si="12"/>
        <v>1526</v>
      </c>
      <c r="Y37" s="117" t="s">
        <v>94</v>
      </c>
      <c r="Z37" s="113">
        <f>+Z35+Z36</f>
        <v>80000</v>
      </c>
      <c r="AA37" s="113">
        <f>SUM(AA35:AA36)</f>
        <v>7.2759576141834259E-12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518"/>
      <c r="J38" s="26"/>
      <c r="K38" s="27">
        <f t="shared" si="0"/>
        <v>11207</v>
      </c>
      <c r="L38" s="28">
        <f t="shared" si="8"/>
        <v>30974</v>
      </c>
      <c r="M38" s="29"/>
      <c r="N38" s="799"/>
      <c r="O38" s="30">
        <f t="shared" si="13"/>
        <v>0.26870789076174262</v>
      </c>
      <c r="P38" s="802"/>
      <c r="Q38" s="31">
        <f t="shared" si="14"/>
        <v>0</v>
      </c>
      <c r="R38" s="31"/>
      <c r="S38" s="28">
        <f t="shared" si="3"/>
        <v>11207</v>
      </c>
      <c r="T38" s="28">
        <f t="shared" si="4"/>
        <v>0</v>
      </c>
      <c r="U38" s="28">
        <f t="shared" si="5"/>
        <v>0</v>
      </c>
      <c r="V38" s="28">
        <f t="shared" si="6"/>
        <v>11207</v>
      </c>
      <c r="W38" s="31">
        <f t="shared" si="9"/>
        <v>32500</v>
      </c>
      <c r="X38" s="32">
        <f t="shared" si="12"/>
        <v>1526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 t="shared" si="8"/>
        <v>30974</v>
      </c>
      <c r="M39" s="29"/>
      <c r="N39" s="799"/>
      <c r="O39" s="30">
        <f t="shared" si="13"/>
        <v>0</v>
      </c>
      <c r="P39" s="802"/>
      <c r="Q39" s="31">
        <f t="shared" si="14"/>
        <v>0</v>
      </c>
      <c r="R39" s="31"/>
      <c r="S39" s="28">
        <f t="shared" si="3"/>
        <v>0</v>
      </c>
      <c r="T39" s="28">
        <f t="shared" si="4"/>
        <v>0</v>
      </c>
      <c r="U39" s="28">
        <f t="shared" si="5"/>
        <v>0</v>
      </c>
      <c r="V39" s="28">
        <f t="shared" si="6"/>
        <v>0</v>
      </c>
      <c r="W39" s="31">
        <f t="shared" si="9"/>
        <v>32500</v>
      </c>
      <c r="X39" s="32">
        <f t="shared" si="12"/>
        <v>1526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8"/>
        <v>30974</v>
      </c>
      <c r="M40" s="29"/>
      <c r="N40" s="799"/>
      <c r="O40" s="30"/>
      <c r="P40" s="802"/>
      <c r="Q40" s="31"/>
      <c r="R40" s="31"/>
      <c r="S40" s="28">
        <f t="shared" si="3"/>
        <v>0</v>
      </c>
      <c r="T40" s="28">
        <f t="shared" si="4"/>
        <v>0</v>
      </c>
      <c r="U40" s="28">
        <f t="shared" si="5"/>
        <v>0</v>
      </c>
      <c r="V40" s="28">
        <f t="shared" si="6"/>
        <v>0</v>
      </c>
      <c r="W40" s="31">
        <f t="shared" si="9"/>
        <v>32500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75</v>
      </c>
      <c r="G41" s="101" t="s">
        <v>76</v>
      </c>
      <c r="H41" s="518">
        <v>13728</v>
      </c>
      <c r="I41" s="26"/>
      <c r="J41" s="26"/>
      <c r="K41" s="27">
        <f t="shared" si="0"/>
        <v>13728</v>
      </c>
      <c r="L41" s="28">
        <f t="shared" si="8"/>
        <v>17246</v>
      </c>
      <c r="M41" s="29"/>
      <c r="N41" s="799"/>
      <c r="O41" s="30">
        <f t="shared" ref="O41:O47" si="15">+K41/$N$27</f>
        <v>0.32915337952861629</v>
      </c>
      <c r="P41" s="802"/>
      <c r="Q41" s="31">
        <f t="shared" ref="Q41:Q57" si="16">IF($P$30=0,0,(-($P$30*O41)+K41)-K41)</f>
        <v>0</v>
      </c>
      <c r="R41" s="31"/>
      <c r="S41" s="28">
        <f t="shared" si="3"/>
        <v>13728</v>
      </c>
      <c r="T41" s="28">
        <f t="shared" si="4"/>
        <v>0</v>
      </c>
      <c r="U41" s="28">
        <f t="shared" si="5"/>
        <v>0</v>
      </c>
      <c r="V41" s="28">
        <f t="shared" si="6"/>
        <v>13728</v>
      </c>
      <c r="W41" s="31">
        <f t="shared" si="9"/>
        <v>18772</v>
      </c>
      <c r="X41" s="32">
        <f t="shared" ref="X41:X47" si="17">W41-L41</f>
        <v>1526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6772</v>
      </c>
      <c r="I42" s="26"/>
      <c r="J42" s="26"/>
      <c r="K42" s="27">
        <f t="shared" si="0"/>
        <v>6772</v>
      </c>
      <c r="L42" s="28">
        <f t="shared" si="8"/>
        <v>10474</v>
      </c>
      <c r="M42" s="29"/>
      <c r="N42" s="799"/>
      <c r="O42" s="30">
        <f t="shared" si="15"/>
        <v>0.16237082504135997</v>
      </c>
      <c r="P42" s="802"/>
      <c r="Q42" s="31">
        <f t="shared" si="16"/>
        <v>0</v>
      </c>
      <c r="R42" s="31"/>
      <c r="S42" s="28">
        <f t="shared" si="3"/>
        <v>6772</v>
      </c>
      <c r="T42" s="28">
        <f t="shared" si="4"/>
        <v>0</v>
      </c>
      <c r="U42" s="28">
        <f t="shared" si="5"/>
        <v>0</v>
      </c>
      <c r="V42" s="28">
        <f t="shared" si="6"/>
        <v>6772</v>
      </c>
      <c r="W42" s="31">
        <f t="shared" si="9"/>
        <v>12000</v>
      </c>
      <c r="X42" s="32">
        <f t="shared" si="17"/>
        <v>1526</v>
      </c>
      <c r="Y42" s="74" t="s">
        <v>96</v>
      </c>
      <c r="Z42" s="75">
        <v>35500</v>
      </c>
      <c r="AA42" s="129">
        <f>+H7+H8+H17+H18+H19+H22+H32+H33+H43+H44+H45+H53</f>
        <v>28597</v>
      </c>
      <c r="AB42" s="129">
        <f>+I7+I8+I17+I18+I19+I22+I32+I33+I43+I44+I45+I53</f>
        <v>7403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8"/>
        <v>10474</v>
      </c>
      <c r="M43" s="29"/>
      <c r="N43" s="799"/>
      <c r="O43" s="30">
        <f t="shared" si="15"/>
        <v>0</v>
      </c>
      <c r="P43" s="802"/>
      <c r="Q43" s="31">
        <f t="shared" si="16"/>
        <v>0</v>
      </c>
      <c r="R43" s="31"/>
      <c r="S43" s="28">
        <f t="shared" si="3"/>
        <v>0</v>
      </c>
      <c r="T43" s="28">
        <f t="shared" si="4"/>
        <v>0</v>
      </c>
      <c r="U43" s="28">
        <f t="shared" si="5"/>
        <v>0</v>
      </c>
      <c r="V43" s="28">
        <f t="shared" si="6"/>
        <v>0</v>
      </c>
      <c r="W43" s="31">
        <f t="shared" si="9"/>
        <v>12000</v>
      </c>
      <c r="X43" s="32">
        <f t="shared" si="17"/>
        <v>1526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8"/>
        <v>10474</v>
      </c>
      <c r="M44" s="29"/>
      <c r="N44" s="799"/>
      <c r="O44" s="30">
        <f t="shared" si="15"/>
        <v>0</v>
      </c>
      <c r="P44" s="802"/>
      <c r="Q44" s="31">
        <f t="shared" si="16"/>
        <v>0</v>
      </c>
      <c r="R44" s="31"/>
      <c r="S44" s="28">
        <f t="shared" si="3"/>
        <v>0</v>
      </c>
      <c r="T44" s="28">
        <f t="shared" si="4"/>
        <v>0</v>
      </c>
      <c r="U44" s="28">
        <f t="shared" si="5"/>
        <v>0</v>
      </c>
      <c r="V44" s="28">
        <f t="shared" si="6"/>
        <v>0</v>
      </c>
      <c r="W44" s="31">
        <f t="shared" si="9"/>
        <v>12000</v>
      </c>
      <c r="X44" s="32">
        <f t="shared" si="17"/>
        <v>1526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8"/>
        <v>10474</v>
      </c>
      <c r="M45" s="29"/>
      <c r="N45" s="799"/>
      <c r="O45" s="30">
        <f t="shared" si="15"/>
        <v>0</v>
      </c>
      <c r="P45" s="802"/>
      <c r="Q45" s="31">
        <f t="shared" si="16"/>
        <v>0</v>
      </c>
      <c r="R45" s="31"/>
      <c r="S45" s="28">
        <f t="shared" si="3"/>
        <v>0</v>
      </c>
      <c r="T45" s="28">
        <f t="shared" si="4"/>
        <v>0</v>
      </c>
      <c r="U45" s="28">
        <f t="shared" si="5"/>
        <v>0</v>
      </c>
      <c r="V45" s="28">
        <f t="shared" si="6"/>
        <v>0</v>
      </c>
      <c r="W45" s="31">
        <f t="shared" si="9"/>
        <v>12000</v>
      </c>
      <c r="X45" s="32">
        <f t="shared" si="17"/>
        <v>1526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 t="shared" si="8"/>
        <v>474</v>
      </c>
      <c r="M46" s="29"/>
      <c r="N46" s="799"/>
      <c r="O46" s="30">
        <f t="shared" si="15"/>
        <v>0.2397679046682811</v>
      </c>
      <c r="P46" s="802"/>
      <c r="Q46" s="31">
        <f t="shared" si="16"/>
        <v>0</v>
      </c>
      <c r="R46" s="31">
        <v>0</v>
      </c>
      <c r="S46" s="28">
        <f t="shared" si="3"/>
        <v>10000</v>
      </c>
      <c r="T46" s="28">
        <f t="shared" si="4"/>
        <v>0</v>
      </c>
      <c r="U46" s="28">
        <f t="shared" si="5"/>
        <v>0</v>
      </c>
      <c r="V46" s="28">
        <f t="shared" si="6"/>
        <v>10000</v>
      </c>
      <c r="W46" s="31">
        <f t="shared" si="9"/>
        <v>2000</v>
      </c>
      <c r="X46" s="32">
        <f t="shared" si="17"/>
        <v>1526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8"/>
        <v>474</v>
      </c>
      <c r="M47" s="29"/>
      <c r="N47" s="799"/>
      <c r="O47" s="30">
        <f t="shared" si="15"/>
        <v>0</v>
      </c>
      <c r="P47" s="802"/>
      <c r="Q47" s="31">
        <f t="shared" si="16"/>
        <v>0</v>
      </c>
      <c r="R47" s="31"/>
      <c r="S47" s="28">
        <f t="shared" si="3"/>
        <v>0</v>
      </c>
      <c r="T47" s="28">
        <f t="shared" si="4"/>
        <v>0</v>
      </c>
      <c r="U47" s="28">
        <f t="shared" si="5"/>
        <v>0</v>
      </c>
      <c r="V47" s="28">
        <f t="shared" si="6"/>
        <v>0</v>
      </c>
      <c r="W47" s="31">
        <f t="shared" si="9"/>
        <v>2000</v>
      </c>
      <c r="X47" s="32">
        <f t="shared" si="17"/>
        <v>1526</v>
      </c>
      <c r="Y47" s="57">
        <v>20000</v>
      </c>
      <c r="Z47" s="89">
        <v>4586</v>
      </c>
      <c r="AA47" s="35"/>
      <c r="AB47" s="57">
        <f>57000-AA60</f>
        <v>9874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8"/>
        <v>474</v>
      </c>
      <c r="M48" s="136"/>
      <c r="N48" s="799"/>
      <c r="O48" s="137"/>
      <c r="P48" s="802"/>
      <c r="Q48" s="31">
        <f t="shared" si="16"/>
        <v>0</v>
      </c>
      <c r="R48" s="138"/>
      <c r="S48" s="28">
        <f t="shared" si="3"/>
        <v>0</v>
      </c>
      <c r="T48" s="28">
        <f t="shared" si="4"/>
        <v>0</v>
      </c>
      <c r="U48" s="28">
        <f t="shared" si="5"/>
        <v>0</v>
      </c>
      <c r="V48" s="28">
        <f t="shared" si="6"/>
        <v>0</v>
      </c>
      <c r="W48" s="31">
        <f t="shared" si="9"/>
        <v>2000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8"/>
        <v>474</v>
      </c>
      <c r="M49" s="86"/>
      <c r="N49" s="800"/>
      <c r="O49" s="87">
        <f>+K49/$N$27</f>
        <v>0</v>
      </c>
      <c r="P49" s="803"/>
      <c r="Q49" s="144">
        <f t="shared" si="16"/>
        <v>0</v>
      </c>
      <c r="R49" s="144"/>
      <c r="S49" s="423">
        <f t="shared" si="3"/>
        <v>0</v>
      </c>
      <c r="T49" s="423">
        <f t="shared" si="4"/>
        <v>0</v>
      </c>
      <c r="U49" s="423">
        <f t="shared" si="5"/>
        <v>0</v>
      </c>
      <c r="V49" s="423">
        <f t="shared" si="6"/>
        <v>0</v>
      </c>
      <c r="W49" s="144">
        <f t="shared" si="9"/>
        <v>2000</v>
      </c>
      <c r="X49" s="32">
        <f>W49-L49</f>
        <v>1526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 t="shared" si="8"/>
        <v>474</v>
      </c>
      <c r="M50" s="95"/>
      <c r="N50" s="804">
        <f>SUM(K50:K55)</f>
        <v>2000</v>
      </c>
      <c r="O50" s="96">
        <f>+K50/$N$27</f>
        <v>0</v>
      </c>
      <c r="P50" s="805"/>
      <c r="Q50" s="138">
        <f t="shared" si="16"/>
        <v>0</v>
      </c>
      <c r="R50" s="157">
        <f>K50*$P$50/SUM($K$50:$K$55)-K50</f>
        <v>0</v>
      </c>
      <c r="S50" s="422">
        <f t="shared" si="3"/>
        <v>0</v>
      </c>
      <c r="T50" s="422">
        <f t="shared" si="4"/>
        <v>0</v>
      </c>
      <c r="U50" s="422">
        <f t="shared" si="5"/>
        <v>0</v>
      </c>
      <c r="V50" s="422">
        <f t="shared" si="6"/>
        <v>0</v>
      </c>
      <c r="W50" s="97">
        <f t="shared" si="9"/>
        <v>2000</v>
      </c>
      <c r="X50" s="32">
        <f>W50-L50</f>
        <v>1526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  <c r="AK50" s="51">
        <v>32700</v>
      </c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0"/>
        <v>0</v>
      </c>
      <c r="L51" s="28">
        <f t="shared" si="8"/>
        <v>474</v>
      </c>
      <c r="M51" s="234"/>
      <c r="N51" s="799"/>
      <c r="O51" s="184"/>
      <c r="P51" s="802"/>
      <c r="Q51" s="138">
        <f t="shared" si="16"/>
        <v>0</v>
      </c>
      <c r="R51" s="31"/>
      <c r="S51" s="422">
        <f t="shared" si="3"/>
        <v>0</v>
      </c>
      <c r="T51" s="28">
        <f t="shared" si="4"/>
        <v>0</v>
      </c>
      <c r="U51" s="28">
        <f t="shared" si="5"/>
        <v>0</v>
      </c>
      <c r="V51" s="28">
        <f t="shared" si="6"/>
        <v>0</v>
      </c>
      <c r="W51" s="31">
        <f t="shared" si="9"/>
        <v>2000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  <c r="AJ51" s="20">
        <f>AL51*(24-10)/24</f>
        <v>61196.999999999993</v>
      </c>
      <c r="AK51" s="50">
        <f>AD58-AK50</f>
        <v>61197</v>
      </c>
      <c r="AL51" s="50">
        <f>AK51/(24-10)*24</f>
        <v>104909.14285714284</v>
      </c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8"/>
        <v>474</v>
      </c>
      <c r="M52" s="234"/>
      <c r="N52" s="799"/>
      <c r="O52" s="184"/>
      <c r="P52" s="802"/>
      <c r="Q52" s="31">
        <f t="shared" si="16"/>
        <v>0</v>
      </c>
      <c r="R52" s="97">
        <f>K52*$P$50/SUM($K$50:$K$55)-K52</f>
        <v>0</v>
      </c>
      <c r="S52" s="28">
        <f t="shared" si="3"/>
        <v>0</v>
      </c>
      <c r="T52" s="28">
        <f t="shared" si="4"/>
        <v>0</v>
      </c>
      <c r="U52" s="28">
        <f t="shared" si="5"/>
        <v>0</v>
      </c>
      <c r="V52" s="28">
        <f t="shared" si="6"/>
        <v>0</v>
      </c>
      <c r="W52" s="31">
        <f t="shared" si="9"/>
        <v>2000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518"/>
      <c r="J53" s="26"/>
      <c r="K53" s="27">
        <f t="shared" si="0"/>
        <v>2000</v>
      </c>
      <c r="L53" s="28">
        <f t="shared" si="8"/>
        <v>-1526</v>
      </c>
      <c r="M53" s="29"/>
      <c r="N53" s="799"/>
      <c r="O53" s="30">
        <f>+K53/$N$27</f>
        <v>4.7953580933656217E-2</v>
      </c>
      <c r="P53" s="802"/>
      <c r="Q53" s="97">
        <f t="shared" si="16"/>
        <v>0</v>
      </c>
      <c r="R53" s="31"/>
      <c r="S53" s="28">
        <f t="shared" si="3"/>
        <v>2000</v>
      </c>
      <c r="T53" s="28">
        <f t="shared" si="4"/>
        <v>0</v>
      </c>
      <c r="U53" s="28">
        <f t="shared" si="5"/>
        <v>0</v>
      </c>
      <c r="V53" s="28">
        <f t="shared" si="6"/>
        <v>2000</v>
      </c>
      <c r="W53" s="31">
        <f t="shared" si="9"/>
        <v>0</v>
      </c>
      <c r="X53" s="32">
        <f>W53-L53</f>
        <v>1526</v>
      </c>
      <c r="Y53" s="80">
        <f>+Y52-15000</f>
        <v>-2513.5</v>
      </c>
      <c r="Z53" s="49">
        <f>+Z60-43000</f>
        <v>-10126</v>
      </c>
      <c r="AD53" s="322"/>
      <c r="AE53" s="153"/>
      <c r="AH53" s="18"/>
      <c r="AK53" s="20">
        <f>297521/24*10</f>
        <v>123967.08333333334</v>
      </c>
      <c r="AL53" s="53">
        <f>AD58</f>
        <v>93897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8"/>
        <v>-1526</v>
      </c>
      <c r="M54" s="29"/>
      <c r="N54" s="799"/>
      <c r="O54" s="30">
        <f>+K54/$N$27</f>
        <v>0</v>
      </c>
      <c r="P54" s="802"/>
      <c r="Q54" s="97">
        <f t="shared" si="16"/>
        <v>0</v>
      </c>
      <c r="R54" s="31">
        <f>K54*$P$50/SUM($K$50:$K$55)-K54</f>
        <v>0</v>
      </c>
      <c r="S54" s="28">
        <f t="shared" si="3"/>
        <v>0</v>
      </c>
      <c r="T54" s="28">
        <f t="shared" si="4"/>
        <v>0</v>
      </c>
      <c r="U54" s="28">
        <f t="shared" si="5"/>
        <v>0</v>
      </c>
      <c r="V54" s="28">
        <f t="shared" si="6"/>
        <v>0</v>
      </c>
      <c r="W54" s="31">
        <f t="shared" si="9"/>
        <v>0</v>
      </c>
      <c r="X54" s="32">
        <f>W54-L54</f>
        <v>1526</v>
      </c>
      <c r="Y54" s="158"/>
      <c r="Z54" s="159"/>
      <c r="AA54" s="160"/>
      <c r="AB54" s="158"/>
      <c r="AC54" s="160"/>
      <c r="AD54" s="161"/>
      <c r="AE54" s="153"/>
      <c r="AH54" s="18"/>
      <c r="AK54" s="20">
        <f>(AD59+AJ59)/24*(24-10)</f>
        <v>184865.09027777775</v>
      </c>
      <c r="AL54" s="53">
        <f>AD59+AJ59</f>
        <v>316911.58333333331</v>
      </c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8"/>
        <v>-1526</v>
      </c>
      <c r="M55" s="86"/>
      <c r="N55" s="800"/>
      <c r="O55" s="87">
        <f>+K55/$N$27</f>
        <v>0</v>
      </c>
      <c r="P55" s="803"/>
      <c r="Q55" s="97">
        <f t="shared" si="16"/>
        <v>0</v>
      </c>
      <c r="R55" s="31"/>
      <c r="S55" s="423">
        <f t="shared" si="3"/>
        <v>0</v>
      </c>
      <c r="T55" s="28">
        <f t="shared" si="4"/>
        <v>0</v>
      </c>
      <c r="U55" s="423">
        <f t="shared" si="5"/>
        <v>0</v>
      </c>
      <c r="V55" s="423">
        <f t="shared" si="6"/>
        <v>0</v>
      </c>
      <c r="W55" s="144">
        <f t="shared" si="9"/>
        <v>0</v>
      </c>
      <c r="X55" s="119">
        <f>W55-L55</f>
        <v>1526</v>
      </c>
      <c r="Y55" s="807">
        <f ca="1">Z8</f>
        <v>41938</v>
      </c>
      <c r="Z55" s="808"/>
      <c r="AA55" s="808"/>
      <c r="AB55" s="808"/>
      <c r="AC55" s="808"/>
      <c r="AD55" s="809"/>
      <c r="AE55" s="20" t="s">
        <v>319</v>
      </c>
      <c r="AK55" s="20">
        <f>SUM(AK53:AK54)</f>
        <v>308832.17361111112</v>
      </c>
      <c r="AL55" s="53">
        <f>AD60</f>
        <v>80000</v>
      </c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8"/>
        <v>-1526</v>
      </c>
      <c r="M56" s="804"/>
      <c r="N56" s="804">
        <f>SUM(K56:K80)</f>
        <v>0</v>
      </c>
      <c r="O56" s="96">
        <f>+K56/$N$27</f>
        <v>0</v>
      </c>
      <c r="P56" s="172"/>
      <c r="Q56" s="157">
        <f t="shared" si="16"/>
        <v>0</v>
      </c>
      <c r="R56" s="157">
        <v>0</v>
      </c>
      <c r="S56" s="422">
        <f t="shared" si="3"/>
        <v>0</v>
      </c>
      <c r="T56" s="157">
        <f t="shared" si="4"/>
        <v>0</v>
      </c>
      <c r="U56" s="422">
        <f t="shared" si="5"/>
        <v>0</v>
      </c>
      <c r="V56" s="422">
        <f t="shared" si="6"/>
        <v>0</v>
      </c>
      <c r="W56" s="97">
        <f t="shared" si="9"/>
        <v>0</v>
      </c>
      <c r="X56" s="119">
        <f>W56-L56</f>
        <v>1526</v>
      </c>
      <c r="Y56" s="811" t="s">
        <v>186</v>
      </c>
      <c r="Z56" s="812"/>
      <c r="AA56" s="812"/>
      <c r="AB56" s="812"/>
      <c r="AC56" s="812"/>
      <c r="AD56" s="813"/>
      <c r="AE56" s="13">
        <v>18700</v>
      </c>
      <c r="AF56" s="17">
        <f>AG3</f>
        <v>12656</v>
      </c>
      <c r="AG56" s="20">
        <f>AF56/24*(24-9)</f>
        <v>7910.0000000000009</v>
      </c>
      <c r="AH56" s="53">
        <f>AG56+AC3</f>
        <v>165337</v>
      </c>
      <c r="AK56" s="53">
        <f>AD59-AK55</f>
        <v>1631.826388888876</v>
      </c>
      <c r="AL56" s="53">
        <f>SUM(AL53:AL55)</f>
        <v>490808.58333333331</v>
      </c>
      <c r="AM56" s="50">
        <f>AL55+AL54+AL51</f>
        <v>501820.72619047615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8"/>
        <v>-1526</v>
      </c>
      <c r="M57" s="800"/>
      <c r="N57" s="800"/>
      <c r="O57" s="87" t="e">
        <f t="shared" ref="O57:O80" si="18">+K57/$N$56</f>
        <v>#DIV/0!</v>
      </c>
      <c r="P57" s="328"/>
      <c r="Q57" s="448">
        <f t="shared" si="16"/>
        <v>0</v>
      </c>
      <c r="R57" s="144">
        <v>0</v>
      </c>
      <c r="S57" s="423">
        <f t="shared" si="3"/>
        <v>0</v>
      </c>
      <c r="T57" s="423">
        <f t="shared" si="4"/>
        <v>0</v>
      </c>
      <c r="U57" s="423">
        <f t="shared" si="5"/>
        <v>0</v>
      </c>
      <c r="V57" s="423">
        <f t="shared" si="6"/>
        <v>0</v>
      </c>
      <c r="W57" s="144">
        <f t="shared" si="9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747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8"/>
        <v>-1526</v>
      </c>
      <c r="M58" s="148"/>
      <c r="N58" s="148"/>
      <c r="O58" s="184" t="e">
        <f t="shared" si="18"/>
        <v>#DIV/0!</v>
      </c>
      <c r="P58" s="171"/>
      <c r="Q58" s="97">
        <f t="shared" ref="Q58:Q81" si="19">IF($P$57=0,0,(-($P$57*O58)+K58)-K58)</f>
        <v>0</v>
      </c>
      <c r="R58" s="97"/>
      <c r="S58" s="422">
        <f t="shared" si="3"/>
        <v>0</v>
      </c>
      <c r="T58" s="422">
        <f t="shared" si="4"/>
        <v>0</v>
      </c>
      <c r="U58" s="422">
        <f t="shared" si="5"/>
        <v>0</v>
      </c>
      <c r="V58" s="422">
        <f t="shared" si="6"/>
        <v>0</v>
      </c>
      <c r="W58" s="97">
        <f t="shared" si="9"/>
        <v>0</v>
      </c>
      <c r="X58" s="408"/>
      <c r="Y58" s="180" t="s">
        <v>7</v>
      </c>
      <c r="Z58" s="181">
        <f>+AB4</f>
        <v>27806</v>
      </c>
      <c r="AA58" s="182">
        <f>+AB3</f>
        <v>66091</v>
      </c>
      <c r="AB58" s="182">
        <f>Z12</f>
        <v>0</v>
      </c>
      <c r="AC58" s="181">
        <f>AB10</f>
        <v>0</v>
      </c>
      <c r="AD58" s="661">
        <f>SUM(Z58:AC58)</f>
        <v>93897</v>
      </c>
      <c r="AE58" s="185">
        <v>102166</v>
      </c>
      <c r="AF58" s="17">
        <f>AE58-AD58</f>
        <v>8269</v>
      </c>
      <c r="AG58" s="17">
        <f>AA58-'Octubre 24'!AA58</f>
        <v>-13450</v>
      </c>
      <c r="AH58" s="53">
        <f>AD58-'Octubre 24'!AD58</f>
        <v>-13359</v>
      </c>
      <c r="AI58" s="50"/>
      <c r="AJ58" s="50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8"/>
        <v>-1526</v>
      </c>
      <c r="M59" s="148"/>
      <c r="N59" s="148"/>
      <c r="O59" s="30" t="e">
        <f t="shared" si="18"/>
        <v>#DIV/0!</v>
      </c>
      <c r="P59" s="171"/>
      <c r="Q59" s="31">
        <f t="shared" si="19"/>
        <v>0</v>
      </c>
      <c r="R59" s="31"/>
      <c r="S59" s="28">
        <f t="shared" si="3"/>
        <v>0</v>
      </c>
      <c r="T59" s="28">
        <f t="shared" si="4"/>
        <v>0</v>
      </c>
      <c r="U59" s="28">
        <f t="shared" si="5"/>
        <v>0</v>
      </c>
      <c r="V59" s="28">
        <f t="shared" si="6"/>
        <v>0</v>
      </c>
      <c r="W59" s="31">
        <f t="shared" si="9"/>
        <v>0</v>
      </c>
      <c r="X59" s="408"/>
      <c r="Y59" s="180" t="s">
        <v>17</v>
      </c>
      <c r="Z59" s="182">
        <f>+AC4</f>
        <v>153037</v>
      </c>
      <c r="AA59" s="182">
        <f>AC3</f>
        <v>157427</v>
      </c>
      <c r="AB59" s="182">
        <f>Z11</f>
        <v>0</v>
      </c>
      <c r="AC59" s="181">
        <v>0</v>
      </c>
      <c r="AD59" s="661">
        <f>SUM(Z59:AC59)</f>
        <v>310464</v>
      </c>
      <c r="AE59" s="185">
        <v>246817</v>
      </c>
      <c r="AF59" s="17">
        <f>AE59-AD59</f>
        <v>-63647</v>
      </c>
      <c r="AG59" s="51"/>
      <c r="AH59" s="19"/>
      <c r="AI59" s="758">
        <f>AA59-'Octubre 24 (2)'!AA59</f>
        <v>11053</v>
      </c>
      <c r="AJ59" s="50">
        <f>AI59/24*(24-10)</f>
        <v>6447.5833333333339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8"/>
        <v>-1526</v>
      </c>
      <c r="M60" s="148"/>
      <c r="N60" s="148"/>
      <c r="O60" s="30" t="e">
        <f t="shared" si="18"/>
        <v>#DIV/0!</v>
      </c>
      <c r="P60" s="171"/>
      <c r="Q60" s="31">
        <f t="shared" si="19"/>
        <v>0</v>
      </c>
      <c r="R60" s="31"/>
      <c r="S60" s="28">
        <f t="shared" si="3"/>
        <v>0</v>
      </c>
      <c r="T60" s="28">
        <f t="shared" si="4"/>
        <v>0</v>
      </c>
      <c r="U60" s="28">
        <f t="shared" si="5"/>
        <v>0</v>
      </c>
      <c r="V60" s="28">
        <f t="shared" si="6"/>
        <v>0</v>
      </c>
      <c r="W60" s="31">
        <f t="shared" si="9"/>
        <v>0</v>
      </c>
      <c r="X60" s="408"/>
      <c r="Y60" s="180" t="s">
        <v>112</v>
      </c>
      <c r="Z60" s="181">
        <f>+AD4+AH11</f>
        <v>32874</v>
      </c>
      <c r="AA60" s="182">
        <f>+AD3+AH10</f>
        <v>47126</v>
      </c>
      <c r="AB60" s="191">
        <v>0</v>
      </c>
      <c r="AC60" s="181">
        <v>0</v>
      </c>
      <c r="AD60" s="662">
        <f>SUM(Z60:AC60)</f>
        <v>80000</v>
      </c>
      <c r="AE60" s="185">
        <v>100343</v>
      </c>
      <c r="AF60" s="17">
        <f>AE60-AD60</f>
        <v>20343</v>
      </c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8"/>
        <v>-1526</v>
      </c>
      <c r="M61" s="148"/>
      <c r="N61" s="148"/>
      <c r="O61" s="30" t="e">
        <f t="shared" si="18"/>
        <v>#DIV/0!</v>
      </c>
      <c r="P61" s="171"/>
      <c r="Q61" s="31">
        <f t="shared" si="19"/>
        <v>0</v>
      </c>
      <c r="R61" s="31"/>
      <c r="S61" s="28">
        <f t="shared" si="3"/>
        <v>0</v>
      </c>
      <c r="T61" s="28">
        <f t="shared" si="4"/>
        <v>0</v>
      </c>
      <c r="U61" s="28">
        <f t="shared" si="5"/>
        <v>0</v>
      </c>
      <c r="V61" s="28">
        <f t="shared" si="6"/>
        <v>0</v>
      </c>
      <c r="W61" s="31">
        <f t="shared" si="9"/>
        <v>0</v>
      </c>
      <c r="X61" s="408"/>
      <c r="Y61" s="193" t="s">
        <v>113</v>
      </c>
      <c r="Z61" s="194">
        <f>SUM(Z58:Z60)</f>
        <v>213717</v>
      </c>
      <c r="AA61" s="194">
        <f>SUM(AA58:AA60)</f>
        <v>270644</v>
      </c>
      <c r="AB61" s="194">
        <f>SUM(AB58:AB60)</f>
        <v>0</v>
      </c>
      <c r="AC61" s="194">
        <f>AB10</f>
        <v>0</v>
      </c>
      <c r="AD61" s="195">
        <f>SUM(AD58:AD60)</f>
        <v>484361</v>
      </c>
      <c r="AE61" s="185">
        <f>AD61-AA68</f>
        <v>-12656.48121906101</v>
      </c>
      <c r="AF61" s="17">
        <f>SUM(AF58:AF60)</f>
        <v>-35035</v>
      </c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8"/>
        <v>-1526</v>
      </c>
      <c r="M62" s="148"/>
      <c r="N62" s="148"/>
      <c r="O62" s="30" t="e">
        <f t="shared" si="18"/>
        <v>#DIV/0!</v>
      </c>
      <c r="P62" s="171"/>
      <c r="Q62" s="31">
        <f t="shared" si="19"/>
        <v>0</v>
      </c>
      <c r="R62" s="31"/>
      <c r="S62" s="28">
        <f t="shared" si="3"/>
        <v>0</v>
      </c>
      <c r="T62" s="28">
        <f t="shared" si="4"/>
        <v>0</v>
      </c>
      <c r="U62" s="28">
        <f t="shared" si="5"/>
        <v>0</v>
      </c>
      <c r="V62" s="28">
        <f t="shared" si="6"/>
        <v>0</v>
      </c>
      <c r="W62" s="31">
        <f t="shared" si="9"/>
        <v>0</v>
      </c>
      <c r="X62" s="408"/>
      <c r="Y62" s="199" t="s">
        <v>114</v>
      </c>
      <c r="Z62" s="200">
        <f>(Z58/$Z$28+(Z59/$Z$27)+(Z60/$Z$29))</f>
        <v>214314.71071081929</v>
      </c>
      <c r="AA62" s="200">
        <f>(AA58/$Z$28+(AA59/$Z$27)+(AA60/$Z$29))</f>
        <v>271395.16917461395</v>
      </c>
      <c r="AB62" s="200">
        <f>(AB58/$Z$28)+(AB59/$Z$27)</f>
        <v>0</v>
      </c>
      <c r="AC62" s="200">
        <f>AB9</f>
        <v>0</v>
      </c>
      <c r="AD62" s="201">
        <f>(AD58/$Z$28+(AD59/$Z$27)+(AD60/$Z$29))</f>
        <v>485709.8798854333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8"/>
        <v>-1526</v>
      </c>
      <c r="M63" s="148"/>
      <c r="N63" s="148"/>
      <c r="O63" s="30" t="e">
        <f t="shared" si="18"/>
        <v>#DIV/0!</v>
      </c>
      <c r="P63" s="171"/>
      <c r="Q63" s="31">
        <f t="shared" si="19"/>
        <v>0</v>
      </c>
      <c r="R63" s="31"/>
      <c r="S63" s="28">
        <f t="shared" si="3"/>
        <v>0</v>
      </c>
      <c r="T63" s="28">
        <f t="shared" si="4"/>
        <v>0</v>
      </c>
      <c r="U63" s="28">
        <f t="shared" si="5"/>
        <v>0</v>
      </c>
      <c r="V63" s="28">
        <f t="shared" si="6"/>
        <v>0</v>
      </c>
      <c r="W63" s="31">
        <f t="shared" si="9"/>
        <v>0</v>
      </c>
      <c r="X63" s="408"/>
      <c r="Y63" s="368" t="s">
        <v>318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8"/>
        <v>-1526</v>
      </c>
      <c r="M64" s="148"/>
      <c r="N64" s="148"/>
      <c r="O64" s="30" t="e">
        <f t="shared" si="18"/>
        <v>#DIV/0!</v>
      </c>
      <c r="P64" s="171"/>
      <c r="Q64" s="31">
        <f t="shared" si="19"/>
        <v>0</v>
      </c>
      <c r="R64" s="31"/>
      <c r="S64" s="28">
        <f t="shared" si="3"/>
        <v>0</v>
      </c>
      <c r="T64" s="28">
        <f t="shared" si="4"/>
        <v>0</v>
      </c>
      <c r="U64" s="28">
        <f t="shared" si="5"/>
        <v>0</v>
      </c>
      <c r="V64" s="28">
        <f t="shared" si="6"/>
        <v>0</v>
      </c>
      <c r="W64" s="31">
        <f t="shared" si="9"/>
        <v>0</v>
      </c>
      <c r="X64" s="408"/>
      <c r="Y64" s="368" t="s">
        <v>317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8"/>
        <v>-1526</v>
      </c>
      <c r="M65" s="148"/>
      <c r="N65" s="148"/>
      <c r="O65" s="30" t="e">
        <f t="shared" si="18"/>
        <v>#DIV/0!</v>
      </c>
      <c r="P65" s="171"/>
      <c r="Q65" s="31">
        <f t="shared" si="19"/>
        <v>0</v>
      </c>
      <c r="R65" s="31"/>
      <c r="S65" s="28">
        <f t="shared" si="3"/>
        <v>0</v>
      </c>
      <c r="T65" s="28">
        <f t="shared" si="4"/>
        <v>0</v>
      </c>
      <c r="U65" s="28">
        <f t="shared" si="5"/>
        <v>0</v>
      </c>
      <c r="V65" s="28">
        <f t="shared" si="6"/>
        <v>0</v>
      </c>
      <c r="W65" s="31">
        <f t="shared" si="9"/>
        <v>0</v>
      </c>
      <c r="X65" s="408"/>
      <c r="Y65" s="371" t="s">
        <v>115</v>
      </c>
      <c r="Z65" s="484"/>
      <c r="AA65" s="203">
        <v>122289.80560000002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ref="K66:K103" si="20">SUM(H66:J66)</f>
        <v>0</v>
      </c>
      <c r="L66" s="28">
        <f t="shared" si="8"/>
        <v>-1526</v>
      </c>
      <c r="M66" s="148"/>
      <c r="N66" s="148"/>
      <c r="O66" s="30" t="e">
        <f t="shared" si="18"/>
        <v>#DIV/0!</v>
      </c>
      <c r="P66" s="171"/>
      <c r="Q66" s="31">
        <f t="shared" si="19"/>
        <v>0</v>
      </c>
      <c r="R66" s="31"/>
      <c r="S66" s="28">
        <f t="shared" ref="S66:S103" si="21">IF(H66&lt;&gt;0,+H66+Q66+R66,0)</f>
        <v>0</v>
      </c>
      <c r="T66" s="28">
        <f t="shared" ref="T66:T103" si="22">IF(I66&lt;&gt;0,+I66+Q66+R66,0)</f>
        <v>0</v>
      </c>
      <c r="U66" s="28">
        <f t="shared" ref="U66:U103" si="23">IF(J66&lt;&gt;0,+J66+Q66+R66,0)</f>
        <v>0</v>
      </c>
      <c r="V66" s="28">
        <f t="shared" ref="V66:V103" si="24">+S66+T66+U66</f>
        <v>0</v>
      </c>
      <c r="W66" s="31">
        <f t="shared" si="9"/>
        <v>0</v>
      </c>
      <c r="X66" s="408"/>
      <c r="Y66" s="814" t="s">
        <v>116</v>
      </c>
      <c r="Z66" s="815"/>
      <c r="AA66" s="203">
        <v>52014.378240000005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20"/>
        <v>0</v>
      </c>
      <c r="L67" s="28">
        <f t="shared" ref="L67:L103" si="25">+L66-K67</f>
        <v>-1526</v>
      </c>
      <c r="M67" s="148"/>
      <c r="N67" s="148"/>
      <c r="O67" s="30" t="e">
        <f t="shared" si="18"/>
        <v>#DIV/0!</v>
      </c>
      <c r="P67" s="171"/>
      <c r="Q67" s="31">
        <f t="shared" si="19"/>
        <v>0</v>
      </c>
      <c r="R67" s="31"/>
      <c r="S67" s="28">
        <f t="shared" si="21"/>
        <v>0</v>
      </c>
      <c r="T67" s="28">
        <f t="shared" si="22"/>
        <v>0</v>
      </c>
      <c r="U67" s="28">
        <f t="shared" si="23"/>
        <v>0</v>
      </c>
      <c r="V67" s="28">
        <f t="shared" si="24"/>
        <v>0</v>
      </c>
      <c r="W67" s="31">
        <f t="shared" ref="W67:W103" si="26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20"/>
        <v>0</v>
      </c>
      <c r="L68" s="28">
        <f t="shared" si="25"/>
        <v>-1526</v>
      </c>
      <c r="M68" s="148"/>
      <c r="N68" s="148"/>
      <c r="O68" s="30" t="e">
        <f t="shared" si="18"/>
        <v>#DIV/0!</v>
      </c>
      <c r="P68" s="171"/>
      <c r="Q68" s="31">
        <f t="shared" si="19"/>
        <v>0</v>
      </c>
      <c r="R68" s="31"/>
      <c r="S68" s="28">
        <f t="shared" si="21"/>
        <v>0</v>
      </c>
      <c r="T68" s="28">
        <f t="shared" si="22"/>
        <v>0</v>
      </c>
      <c r="U68" s="28">
        <f t="shared" si="23"/>
        <v>0</v>
      </c>
      <c r="V68" s="28">
        <f t="shared" si="24"/>
        <v>0</v>
      </c>
      <c r="W68" s="31">
        <f t="shared" si="26"/>
        <v>0</v>
      </c>
      <c r="X68" s="211"/>
      <c r="Y68" s="814" t="s">
        <v>188</v>
      </c>
      <c r="Z68" s="815"/>
      <c r="AA68" s="207">
        <f>Z9*Z30+AC61</f>
        <v>497017.48121906101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20"/>
        <v>0</v>
      </c>
      <c r="L69" s="28">
        <f t="shared" si="25"/>
        <v>-1526</v>
      </c>
      <c r="M69" s="148"/>
      <c r="N69" s="148"/>
      <c r="O69" s="30" t="e">
        <f t="shared" si="18"/>
        <v>#DIV/0!</v>
      </c>
      <c r="P69" s="171"/>
      <c r="Q69" s="31">
        <f t="shared" si="19"/>
        <v>0</v>
      </c>
      <c r="R69" s="31"/>
      <c r="S69" s="28">
        <f t="shared" si="21"/>
        <v>0</v>
      </c>
      <c r="T69" s="28">
        <f t="shared" si="22"/>
        <v>0</v>
      </c>
      <c r="U69" s="28">
        <f t="shared" si="23"/>
        <v>0</v>
      </c>
      <c r="V69" s="28">
        <f t="shared" si="24"/>
        <v>0</v>
      </c>
      <c r="W69" s="31">
        <f t="shared" si="26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20"/>
        <v>0</v>
      </c>
      <c r="L70" s="28">
        <f t="shared" si="25"/>
        <v>-1526</v>
      </c>
      <c r="M70" s="148"/>
      <c r="N70" s="148"/>
      <c r="O70" s="30" t="e">
        <f t="shared" si="18"/>
        <v>#DIV/0!</v>
      </c>
      <c r="P70" s="171"/>
      <c r="Q70" s="31">
        <f t="shared" si="19"/>
        <v>0</v>
      </c>
      <c r="R70" s="31"/>
      <c r="S70" s="28">
        <f t="shared" si="21"/>
        <v>0</v>
      </c>
      <c r="T70" s="28">
        <f t="shared" si="22"/>
        <v>0</v>
      </c>
      <c r="U70" s="28">
        <f t="shared" si="23"/>
        <v>0</v>
      </c>
      <c r="V70" s="28">
        <f t="shared" si="24"/>
        <v>0</v>
      </c>
      <c r="W70" s="31">
        <f t="shared" si="26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20"/>
        <v>0</v>
      </c>
      <c r="L71" s="28">
        <f t="shared" si="25"/>
        <v>-1526</v>
      </c>
      <c r="M71" s="148"/>
      <c r="N71" s="148"/>
      <c r="O71" s="30" t="e">
        <f t="shared" si="18"/>
        <v>#DIV/0!</v>
      </c>
      <c r="P71" s="171"/>
      <c r="Q71" s="31">
        <f t="shared" si="19"/>
        <v>0</v>
      </c>
      <c r="R71" s="31"/>
      <c r="S71" s="28">
        <f t="shared" si="21"/>
        <v>0</v>
      </c>
      <c r="T71" s="28">
        <f t="shared" si="22"/>
        <v>0</v>
      </c>
      <c r="U71" s="28">
        <f t="shared" si="23"/>
        <v>0</v>
      </c>
      <c r="V71" s="28">
        <f t="shared" si="24"/>
        <v>0</v>
      </c>
      <c r="W71" s="31">
        <f t="shared" si="26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20"/>
        <v>0</v>
      </c>
      <c r="L72" s="28">
        <f t="shared" si="25"/>
        <v>-1526</v>
      </c>
      <c r="M72" s="148"/>
      <c r="N72" s="148"/>
      <c r="O72" s="30" t="e">
        <f t="shared" si="18"/>
        <v>#DIV/0!</v>
      </c>
      <c r="P72" s="171"/>
      <c r="Q72" s="31">
        <f t="shared" si="19"/>
        <v>0</v>
      </c>
      <c r="R72" s="31"/>
      <c r="S72" s="28">
        <f t="shared" si="21"/>
        <v>0</v>
      </c>
      <c r="T72" s="28">
        <f t="shared" si="22"/>
        <v>0</v>
      </c>
      <c r="U72" s="28">
        <f t="shared" si="23"/>
        <v>0</v>
      </c>
      <c r="V72" s="28">
        <f t="shared" si="24"/>
        <v>0</v>
      </c>
      <c r="W72" s="31">
        <f t="shared" si="26"/>
        <v>0</v>
      </c>
      <c r="X72" s="211"/>
      <c r="Y72" s="214" t="s">
        <v>47</v>
      </c>
      <c r="Z72" s="215">
        <f ca="1">Z8</f>
        <v>41938</v>
      </c>
      <c r="AA72" s="818" t="s">
        <v>118</v>
      </c>
      <c r="AB72" s="818"/>
      <c r="AC72" s="818"/>
      <c r="AD72" s="216">
        <v>9.25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20"/>
        <v>0</v>
      </c>
      <c r="L73" s="28">
        <f t="shared" si="25"/>
        <v>-1526</v>
      </c>
      <c r="M73" s="148"/>
      <c r="N73" s="148"/>
      <c r="O73" s="30" t="e">
        <f t="shared" si="18"/>
        <v>#DIV/0!</v>
      </c>
      <c r="P73" s="171"/>
      <c r="Q73" s="31">
        <f t="shared" si="19"/>
        <v>0</v>
      </c>
      <c r="R73" s="31"/>
      <c r="S73" s="28">
        <f t="shared" si="21"/>
        <v>0</v>
      </c>
      <c r="T73" s="28">
        <f t="shared" si="22"/>
        <v>0</v>
      </c>
      <c r="U73" s="28">
        <f t="shared" si="23"/>
        <v>0</v>
      </c>
      <c r="V73" s="28">
        <f t="shared" si="24"/>
        <v>0</v>
      </c>
      <c r="W73" s="31">
        <f t="shared" si="26"/>
        <v>0</v>
      </c>
      <c r="X73" s="211"/>
      <c r="Y73" s="214" t="s">
        <v>119</v>
      </c>
      <c r="Z73" s="480">
        <f>AD72</f>
        <v>9.25</v>
      </c>
      <c r="AA73" s="756" t="s">
        <v>120</v>
      </c>
      <c r="AB73" s="756"/>
      <c r="AC73" s="756"/>
      <c r="AD73" s="219">
        <f>24-AD72</f>
        <v>14.75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si="20"/>
        <v>0</v>
      </c>
      <c r="L74" s="28">
        <f t="shared" si="25"/>
        <v>-1526</v>
      </c>
      <c r="M74" s="148"/>
      <c r="N74" s="148"/>
      <c r="O74" s="30" t="e">
        <f t="shared" si="18"/>
        <v>#DIV/0!</v>
      </c>
      <c r="P74" s="171"/>
      <c r="Q74" s="31">
        <f t="shared" si="19"/>
        <v>0</v>
      </c>
      <c r="R74" s="31"/>
      <c r="S74" s="28">
        <f t="shared" si="21"/>
        <v>0</v>
      </c>
      <c r="T74" s="28">
        <f t="shared" si="22"/>
        <v>0</v>
      </c>
      <c r="U74" s="28">
        <f t="shared" si="23"/>
        <v>0</v>
      </c>
      <c r="V74" s="28">
        <f t="shared" si="24"/>
        <v>0</v>
      </c>
      <c r="W74" s="31">
        <f t="shared" si="26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55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0"/>
        <v>0</v>
      </c>
      <c r="L75" s="28">
        <f t="shared" si="25"/>
        <v>-1526</v>
      </c>
      <c r="M75" s="148"/>
      <c r="N75" s="148"/>
      <c r="O75" s="30" t="e">
        <f t="shared" si="18"/>
        <v>#DIV/0!</v>
      </c>
      <c r="P75" s="171"/>
      <c r="Q75" s="31">
        <f t="shared" si="19"/>
        <v>0</v>
      </c>
      <c r="R75" s="31"/>
      <c r="S75" s="28">
        <f t="shared" si="21"/>
        <v>0</v>
      </c>
      <c r="T75" s="28">
        <f t="shared" si="22"/>
        <v>0</v>
      </c>
      <c r="U75" s="28">
        <f t="shared" si="23"/>
        <v>0</v>
      </c>
      <c r="V75" s="28">
        <f t="shared" si="24"/>
        <v>0</v>
      </c>
      <c r="W75" s="31">
        <f t="shared" si="26"/>
        <v>0</v>
      </c>
      <c r="X75" s="211"/>
      <c r="Y75" s="755" t="s">
        <v>121</v>
      </c>
      <c r="Z75" s="755" t="s">
        <v>122</v>
      </c>
      <c r="AA75" s="755" t="s">
        <v>123</v>
      </c>
      <c r="AB75" s="820" t="s">
        <v>124</v>
      </c>
      <c r="AC75" s="821"/>
      <c r="AD75" s="822"/>
      <c r="AE75" s="755" t="s">
        <v>125</v>
      </c>
      <c r="AF75" s="755" t="s">
        <v>126</v>
      </c>
      <c r="AG75" s="149"/>
      <c r="AH75" s="755" t="s">
        <v>121</v>
      </c>
      <c r="AI75" s="755"/>
      <c r="AJ75" s="214" t="s">
        <v>7</v>
      </c>
      <c r="AK75" s="236">
        <f>((+AD78-AA78)/$AD$73)*24</f>
        <v>103089.3559322034</v>
      </c>
      <c r="AL75" s="236">
        <f>AK75</f>
        <v>103089.3559322034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0"/>
        <v>0</v>
      </c>
      <c r="L76" s="28">
        <f t="shared" si="25"/>
        <v>-1526</v>
      </c>
      <c r="M76" s="148"/>
      <c r="N76" s="148"/>
      <c r="O76" s="30" t="e">
        <f t="shared" si="18"/>
        <v>#DIV/0!</v>
      </c>
      <c r="P76" s="171"/>
      <c r="Q76" s="31">
        <f t="shared" si="19"/>
        <v>0</v>
      </c>
      <c r="R76" s="31"/>
      <c r="S76" s="28">
        <f t="shared" si="21"/>
        <v>0</v>
      </c>
      <c r="T76" s="28">
        <f t="shared" si="22"/>
        <v>0</v>
      </c>
      <c r="U76" s="28">
        <f t="shared" si="23"/>
        <v>0</v>
      </c>
      <c r="V76" s="28">
        <f t="shared" si="24"/>
        <v>0</v>
      </c>
      <c r="W76" s="31">
        <f t="shared" si="26"/>
        <v>0</v>
      </c>
      <c r="X76" s="211"/>
      <c r="Y76" s="755"/>
      <c r="Z76" s="755"/>
      <c r="AA76" s="755"/>
      <c r="AB76" s="755"/>
      <c r="AC76" s="755"/>
      <c r="AD76" s="755"/>
      <c r="AE76" s="755"/>
      <c r="AF76" s="755"/>
      <c r="AG76" s="149"/>
      <c r="AH76" s="755"/>
      <c r="AI76" s="755"/>
      <c r="AJ76" s="214" t="s">
        <v>6</v>
      </c>
      <c r="AK76" s="236">
        <f>((+AD79-AA79)/$AD$73)*24</f>
        <v>319182.10169491527</v>
      </c>
      <c r="AL76" s="236">
        <f>+AK76</f>
        <v>319182.10169491527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0"/>
        <v>0</v>
      </c>
      <c r="L77" s="28">
        <f t="shared" si="25"/>
        <v>-1526</v>
      </c>
      <c r="M77" s="148"/>
      <c r="N77" s="148"/>
      <c r="O77" s="30" t="e">
        <f t="shared" si="18"/>
        <v>#DIV/0!</v>
      </c>
      <c r="P77" s="171"/>
      <c r="Q77" s="31">
        <f t="shared" si="19"/>
        <v>0</v>
      </c>
      <c r="R77" s="31"/>
      <c r="S77" s="28">
        <f t="shared" si="21"/>
        <v>0</v>
      </c>
      <c r="T77" s="28">
        <f t="shared" si="22"/>
        <v>0</v>
      </c>
      <c r="U77" s="28">
        <f t="shared" si="23"/>
        <v>0</v>
      </c>
      <c r="V77" s="28">
        <f t="shared" si="24"/>
        <v>0</v>
      </c>
      <c r="W77" s="31">
        <f t="shared" si="26"/>
        <v>0</v>
      </c>
      <c r="X77" s="211"/>
      <c r="Y77" s="755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55"/>
      <c r="AI77" s="78"/>
      <c r="AJ77" s="214" t="s">
        <v>8</v>
      </c>
      <c r="AK77" s="236">
        <f>((+AD80-AA80)/$AD$73)*24</f>
        <v>80054.237288135599</v>
      </c>
      <c r="AL77" s="236">
        <f>AK77</f>
        <v>80054.237288135599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0"/>
        <v>0</v>
      </c>
      <c r="L78" s="28">
        <f t="shared" si="25"/>
        <v>-1526</v>
      </c>
      <c r="M78" s="148"/>
      <c r="N78" s="148"/>
      <c r="O78" s="30" t="e">
        <f t="shared" si="18"/>
        <v>#DIV/0!</v>
      </c>
      <c r="P78" s="171"/>
      <c r="Q78" s="31">
        <f t="shared" si="19"/>
        <v>0</v>
      </c>
      <c r="R78" s="31"/>
      <c r="S78" s="28">
        <f t="shared" si="21"/>
        <v>0</v>
      </c>
      <c r="T78" s="28">
        <f t="shared" si="22"/>
        <v>0</v>
      </c>
      <c r="U78" s="28">
        <f t="shared" si="23"/>
        <v>0</v>
      </c>
      <c r="V78" s="28">
        <f t="shared" si="24"/>
        <v>0</v>
      </c>
      <c r="W78" s="31">
        <f t="shared" si="26"/>
        <v>0</v>
      </c>
      <c r="X78" s="211"/>
      <c r="Y78" s="214" t="s">
        <v>7</v>
      </c>
      <c r="Z78" s="224">
        <v>89836</v>
      </c>
      <c r="AA78" s="225">
        <v>30540</v>
      </c>
      <c r="AB78" s="226">
        <f t="shared" ref="AB78:AC80" si="27">+Z58</f>
        <v>27806</v>
      </c>
      <c r="AC78" s="226">
        <f t="shared" si="27"/>
        <v>66091</v>
      </c>
      <c r="AD78" s="226">
        <f>+AB78+AC78+AB58+AC58</f>
        <v>93897</v>
      </c>
      <c r="AE78" s="519">
        <f>+((AD58/24)*$AD$73)+AA78</f>
        <v>88247.53125</v>
      </c>
      <c r="AF78" s="227">
        <f>+AE78-AD78</f>
        <v>-5649.46875</v>
      </c>
      <c r="AG78" s="212"/>
      <c r="AH78" s="214" t="s">
        <v>7</v>
      </c>
      <c r="AI78" s="446">
        <f>+AA78</f>
        <v>30540</v>
      </c>
      <c r="AK78" s="231">
        <f>+SUM(AK75:AK77)</f>
        <v>502325.69491525425</v>
      </c>
      <c r="AL78" s="231">
        <f>+SUM(AL75:AL77)</f>
        <v>502325.69491525425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0"/>
        <v>0</v>
      </c>
      <c r="L79" s="28">
        <f t="shared" si="25"/>
        <v>-1526</v>
      </c>
      <c r="M79" s="148"/>
      <c r="N79" s="148"/>
      <c r="O79" s="30" t="e">
        <f t="shared" si="18"/>
        <v>#DIV/0!</v>
      </c>
      <c r="P79" s="171"/>
      <c r="Q79" s="31">
        <f t="shared" si="19"/>
        <v>0</v>
      </c>
      <c r="R79" s="31"/>
      <c r="S79" s="28">
        <f t="shared" si="21"/>
        <v>0</v>
      </c>
      <c r="T79" s="28">
        <f t="shared" si="22"/>
        <v>0</v>
      </c>
      <c r="U79" s="28">
        <f t="shared" si="23"/>
        <v>0</v>
      </c>
      <c r="V79" s="28">
        <f t="shared" si="24"/>
        <v>0</v>
      </c>
      <c r="W79" s="31">
        <f t="shared" si="26"/>
        <v>0</v>
      </c>
      <c r="X79" s="211"/>
      <c r="Y79" s="214" t="s">
        <v>6</v>
      </c>
      <c r="Z79" s="224">
        <v>297521</v>
      </c>
      <c r="AA79" s="225">
        <v>114300</v>
      </c>
      <c r="AB79" s="226">
        <f t="shared" si="27"/>
        <v>153037</v>
      </c>
      <c r="AC79" s="226">
        <f t="shared" si="27"/>
        <v>157427</v>
      </c>
      <c r="AD79" s="226">
        <f>+AB79+AC79+AB59</f>
        <v>310464</v>
      </c>
      <c r="AE79" s="519">
        <f>+((AD59/24)*$AD$73)+AA79</f>
        <v>305106</v>
      </c>
      <c r="AF79" s="227">
        <f>+AE79-AD79</f>
        <v>-5358</v>
      </c>
      <c r="AG79" s="212"/>
      <c r="AH79" s="214" t="s">
        <v>6</v>
      </c>
      <c r="AI79" s="446">
        <f>+AA79</f>
        <v>114300</v>
      </c>
      <c r="AJ79" s="53"/>
      <c r="AK79" s="481">
        <f>Z10</f>
        <v>497017</v>
      </c>
      <c r="AL79" s="481">
        <f>AK79-AK78</f>
        <v>-5308.6949152542511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0"/>
        <v>0</v>
      </c>
      <c r="L80" s="28">
        <f t="shared" si="25"/>
        <v>-1526</v>
      </c>
      <c r="M80" s="148"/>
      <c r="N80" s="234"/>
      <c r="O80" s="30" t="e">
        <f t="shared" si="18"/>
        <v>#DIV/0!</v>
      </c>
      <c r="P80" s="179"/>
      <c r="Q80" s="31">
        <f t="shared" si="19"/>
        <v>0</v>
      </c>
      <c r="R80" s="31"/>
      <c r="S80" s="28">
        <f t="shared" si="21"/>
        <v>0</v>
      </c>
      <c r="T80" s="28">
        <f t="shared" si="22"/>
        <v>0</v>
      </c>
      <c r="U80" s="28">
        <f t="shared" si="23"/>
        <v>0</v>
      </c>
      <c r="V80" s="28">
        <f t="shared" si="24"/>
        <v>0</v>
      </c>
      <c r="W80" s="31">
        <f t="shared" si="26"/>
        <v>0</v>
      </c>
      <c r="X80" s="211"/>
      <c r="Y80" s="214" t="s">
        <v>8</v>
      </c>
      <c r="Z80" s="224">
        <v>80000</v>
      </c>
      <c r="AA80" s="225">
        <v>30800</v>
      </c>
      <c r="AB80" s="226">
        <f t="shared" si="27"/>
        <v>32874</v>
      </c>
      <c r="AC80" s="226">
        <f t="shared" si="27"/>
        <v>47126</v>
      </c>
      <c r="AD80" s="226">
        <f>+AB80+AC80</f>
        <v>80000</v>
      </c>
      <c r="AE80" s="519">
        <f>+((AD60/24)*$AD$73)+AA80</f>
        <v>79966.666666666672</v>
      </c>
      <c r="AF80" s="227">
        <f>+AE80-AD80</f>
        <v>-33.333333333328483</v>
      </c>
      <c r="AG80" s="149"/>
      <c r="AH80" s="214" t="s">
        <v>8</v>
      </c>
      <c r="AI80" s="447">
        <f>+AA80</f>
        <v>30800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0"/>
        <v>0</v>
      </c>
      <c r="L81" s="28">
        <f t="shared" si="25"/>
        <v>-1526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9"/>
        <v>0</v>
      </c>
      <c r="R81" s="31"/>
      <c r="S81" s="28">
        <f t="shared" si="21"/>
        <v>0</v>
      </c>
      <c r="T81" s="28">
        <f t="shared" si="22"/>
        <v>0</v>
      </c>
      <c r="U81" s="28">
        <f t="shared" si="23"/>
        <v>0</v>
      </c>
      <c r="V81" s="28">
        <f t="shared" si="24"/>
        <v>0</v>
      </c>
      <c r="W81" s="31">
        <f t="shared" si="26"/>
        <v>0</v>
      </c>
      <c r="X81" s="211"/>
      <c r="Y81" s="228" t="s">
        <v>130</v>
      </c>
      <c r="Z81" s="229">
        <f t="shared" ref="Z81:AE81" si="28">SUM(Z78:Z80)</f>
        <v>467357</v>
      </c>
      <c r="AA81" s="230">
        <f t="shared" si="28"/>
        <v>175640</v>
      </c>
      <c r="AB81" s="229">
        <f t="shared" si="28"/>
        <v>213717</v>
      </c>
      <c r="AC81" s="229">
        <f t="shared" si="28"/>
        <v>270644</v>
      </c>
      <c r="AD81" s="229">
        <f t="shared" si="28"/>
        <v>484361</v>
      </c>
      <c r="AE81" s="229">
        <f t="shared" si="28"/>
        <v>473320.19791666669</v>
      </c>
      <c r="AF81" s="227">
        <f>+SUM(AF78:AF80)</f>
        <v>-11040.802083333328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0"/>
        <v>0</v>
      </c>
      <c r="L82" s="28">
        <f t="shared" si="25"/>
        <v>-1526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21"/>
        <v>0</v>
      </c>
      <c r="T82" s="28">
        <f t="shared" si="22"/>
        <v>0</v>
      </c>
      <c r="U82" s="28">
        <f t="shared" si="23"/>
        <v>0</v>
      </c>
      <c r="V82" s="28">
        <f t="shared" si="24"/>
        <v>0</v>
      </c>
      <c r="W82" s="31">
        <f t="shared" si="26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0"/>
        <v>0</v>
      </c>
      <c r="L83" s="28">
        <f t="shared" si="25"/>
        <v>-1526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21"/>
        <v>0</v>
      </c>
      <c r="T83" s="28">
        <f t="shared" si="22"/>
        <v>0</v>
      </c>
      <c r="U83" s="28">
        <f t="shared" si="23"/>
        <v>0</v>
      </c>
      <c r="V83" s="28">
        <f t="shared" si="24"/>
        <v>0</v>
      </c>
      <c r="W83" s="31">
        <f t="shared" si="26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0"/>
        <v>0</v>
      </c>
      <c r="L84" s="28">
        <f t="shared" si="25"/>
        <v>-1526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21"/>
        <v>0</v>
      </c>
      <c r="T84" s="28">
        <f t="shared" si="22"/>
        <v>0</v>
      </c>
      <c r="U84" s="28">
        <f t="shared" si="23"/>
        <v>0</v>
      </c>
      <c r="V84" s="28">
        <f t="shared" si="24"/>
        <v>0</v>
      </c>
      <c r="W84" s="31">
        <f t="shared" si="26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0"/>
        <v>0</v>
      </c>
      <c r="L85" s="28">
        <f t="shared" si="25"/>
        <v>-1526</v>
      </c>
      <c r="M85" s="810"/>
      <c r="N85" s="810">
        <f>SUM(K85:K93)</f>
        <v>0</v>
      </c>
      <c r="O85" s="30" t="e">
        <f t="shared" ref="O85:O93" si="29">+K85/$N$85</f>
        <v>#DIV/0!</v>
      </c>
      <c r="P85" s="238"/>
      <c r="Q85" s="31">
        <f t="shared" ref="Q85:Q103" si="30">IF($P$85=0,0,(-($P$85*O85)+K85)-K85)</f>
        <v>0</v>
      </c>
      <c r="R85" s="31"/>
      <c r="S85" s="28">
        <f t="shared" si="21"/>
        <v>0</v>
      </c>
      <c r="T85" s="28">
        <f t="shared" si="22"/>
        <v>0</v>
      </c>
      <c r="U85" s="28">
        <f t="shared" si="23"/>
        <v>0</v>
      </c>
      <c r="V85" s="28">
        <f t="shared" si="24"/>
        <v>0</v>
      </c>
      <c r="W85" s="31">
        <f t="shared" si="26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0"/>
        <v>0</v>
      </c>
      <c r="L86" s="28">
        <f t="shared" si="25"/>
        <v>-1526</v>
      </c>
      <c r="M86" s="810"/>
      <c r="N86" s="810"/>
      <c r="O86" s="30" t="e">
        <f t="shared" si="29"/>
        <v>#DIV/0!</v>
      </c>
      <c r="P86" s="171"/>
      <c r="Q86" s="31">
        <f t="shared" si="30"/>
        <v>0</v>
      </c>
      <c r="R86" s="31"/>
      <c r="S86" s="28">
        <f t="shared" si="21"/>
        <v>0</v>
      </c>
      <c r="T86" s="28">
        <f t="shared" si="22"/>
        <v>0</v>
      </c>
      <c r="U86" s="28">
        <f t="shared" si="23"/>
        <v>0</v>
      </c>
      <c r="V86" s="28">
        <f t="shared" si="24"/>
        <v>0</v>
      </c>
      <c r="W86" s="31">
        <f t="shared" si="26"/>
        <v>0</v>
      </c>
      <c r="Y86" s="14" t="s">
        <v>177</v>
      </c>
      <c r="Z86" s="336" t="s">
        <v>178</v>
      </c>
      <c r="AA86" s="337">
        <f>+AA81</f>
        <v>175640</v>
      </c>
      <c r="AB86" s="337">
        <f>AA87-AA86</f>
        <v>96549.729166666686</v>
      </c>
      <c r="AC86" s="42">
        <f>AB86*24/5.5</f>
        <v>421307.90909090918</v>
      </c>
      <c r="AD86" s="338">
        <f>AC86+353111</f>
        <v>774418.90909090918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0"/>
        <v>0</v>
      </c>
      <c r="L87" s="28">
        <f t="shared" si="25"/>
        <v>-1526</v>
      </c>
      <c r="M87" s="810"/>
      <c r="N87" s="810"/>
      <c r="O87" s="30" t="e">
        <f t="shared" si="29"/>
        <v>#DIV/0!</v>
      </c>
      <c r="P87" s="171"/>
      <c r="Q87" s="31">
        <f t="shared" si="30"/>
        <v>0</v>
      </c>
      <c r="R87" s="31"/>
      <c r="S87" s="28">
        <f t="shared" si="21"/>
        <v>0</v>
      </c>
      <c r="T87" s="28">
        <f t="shared" si="22"/>
        <v>0</v>
      </c>
      <c r="U87" s="28">
        <f t="shared" si="23"/>
        <v>0</v>
      </c>
      <c r="V87" s="28">
        <f t="shared" si="24"/>
        <v>0</v>
      </c>
      <c r="W87" s="31">
        <f t="shared" si="26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177471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0"/>
        <v>0</v>
      </c>
      <c r="L88" s="28">
        <f t="shared" si="25"/>
        <v>-1526</v>
      </c>
      <c r="M88" s="810"/>
      <c r="N88" s="810"/>
      <c r="O88" s="30" t="e">
        <f t="shared" si="29"/>
        <v>#DIV/0!</v>
      </c>
      <c r="P88" s="171"/>
      <c r="Q88" s="31">
        <f t="shared" si="30"/>
        <v>0</v>
      </c>
      <c r="R88" s="31"/>
      <c r="S88" s="28">
        <f t="shared" si="21"/>
        <v>0</v>
      </c>
      <c r="T88" s="28">
        <f t="shared" si="22"/>
        <v>0</v>
      </c>
      <c r="U88" s="28">
        <f t="shared" si="23"/>
        <v>0</v>
      </c>
      <c r="V88" s="28">
        <f t="shared" si="24"/>
        <v>0</v>
      </c>
      <c r="W88" s="31">
        <f t="shared" si="26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0"/>
        <v>0</v>
      </c>
      <c r="L89" s="28">
        <f t="shared" si="25"/>
        <v>-1526</v>
      </c>
      <c r="M89" s="810"/>
      <c r="N89" s="810"/>
      <c r="O89" s="30" t="e">
        <f t="shared" si="29"/>
        <v>#DIV/0!</v>
      </c>
      <c r="P89" s="171"/>
      <c r="Q89" s="31">
        <f t="shared" si="30"/>
        <v>0</v>
      </c>
      <c r="R89" s="31"/>
      <c r="S89" s="28">
        <f t="shared" si="21"/>
        <v>0</v>
      </c>
      <c r="T89" s="28">
        <f t="shared" si="22"/>
        <v>0</v>
      </c>
      <c r="U89" s="28">
        <f t="shared" si="23"/>
        <v>0</v>
      </c>
      <c r="V89" s="28">
        <f t="shared" si="24"/>
        <v>0</v>
      </c>
      <c r="W89" s="31">
        <f t="shared" si="26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0"/>
        <v>0</v>
      </c>
      <c r="L90" s="28">
        <f t="shared" si="25"/>
        <v>-1526</v>
      </c>
      <c r="M90" s="810"/>
      <c r="N90" s="810"/>
      <c r="O90" s="30" t="e">
        <f t="shared" si="29"/>
        <v>#DIV/0!</v>
      </c>
      <c r="P90" s="171"/>
      <c r="Q90" s="31">
        <f t="shared" si="30"/>
        <v>0</v>
      </c>
      <c r="R90" s="31"/>
      <c r="S90" s="28">
        <f t="shared" si="21"/>
        <v>0</v>
      </c>
      <c r="T90" s="28">
        <f t="shared" si="22"/>
        <v>0</v>
      </c>
      <c r="U90" s="28">
        <f t="shared" si="23"/>
        <v>0</v>
      </c>
      <c r="V90" s="28">
        <f t="shared" si="24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0"/>
        <v>0</v>
      </c>
      <c r="L91" s="28">
        <f t="shared" si="25"/>
        <v>-1526</v>
      </c>
      <c r="M91" s="810"/>
      <c r="N91" s="810"/>
      <c r="O91" s="30" t="e">
        <f t="shared" si="29"/>
        <v>#DIV/0!</v>
      </c>
      <c r="P91" s="171"/>
      <c r="Q91" s="31">
        <f t="shared" si="30"/>
        <v>0</v>
      </c>
      <c r="R91" s="31"/>
      <c r="S91" s="28">
        <f t="shared" si="21"/>
        <v>0</v>
      </c>
      <c r="T91" s="28">
        <f t="shared" si="22"/>
        <v>0</v>
      </c>
      <c r="U91" s="28">
        <f t="shared" si="23"/>
        <v>0</v>
      </c>
      <c r="V91" s="28">
        <f t="shared" si="24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0"/>
        <v>0</v>
      </c>
      <c r="L92" s="28">
        <f t="shared" si="25"/>
        <v>-1526</v>
      </c>
      <c r="M92" s="810"/>
      <c r="N92" s="810"/>
      <c r="O92" s="30" t="e">
        <f t="shared" si="29"/>
        <v>#DIV/0!</v>
      </c>
      <c r="P92" s="171"/>
      <c r="Q92" s="31">
        <f t="shared" si="30"/>
        <v>0</v>
      </c>
      <c r="R92" s="31"/>
      <c r="S92" s="28">
        <f t="shared" si="21"/>
        <v>0</v>
      </c>
      <c r="T92" s="28">
        <f t="shared" si="22"/>
        <v>0</v>
      </c>
      <c r="U92" s="28">
        <f t="shared" si="23"/>
        <v>0</v>
      </c>
      <c r="V92" s="28">
        <f t="shared" si="24"/>
        <v>0</v>
      </c>
      <c r="W92" s="31">
        <f t="shared" si="26"/>
        <v>0</v>
      </c>
      <c r="Y92" s="882" t="s">
        <v>158</v>
      </c>
      <c r="Z92" s="586" t="s">
        <v>283</v>
      </c>
      <c r="AA92" s="699">
        <f>(SUMIF($D$2:$D$57,"domiciliario",$I$2:$I$103))/1000</f>
        <v>19.475999999999999</v>
      </c>
      <c r="AB92" s="700">
        <f>(SUMIF($D$2:$D$57,"domiciliario",$T$2:$T$103))/1000</f>
        <v>19.475999999999999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0"/>
        <v>0</v>
      </c>
      <c r="L93" s="28">
        <f t="shared" si="25"/>
        <v>-1526</v>
      </c>
      <c r="M93" s="810"/>
      <c r="N93" s="810"/>
      <c r="O93" s="30" t="e">
        <f t="shared" si="29"/>
        <v>#DIV/0!</v>
      </c>
      <c r="P93" s="179"/>
      <c r="Q93" s="31">
        <f t="shared" si="30"/>
        <v>0</v>
      </c>
      <c r="R93" s="31"/>
      <c r="S93" s="28">
        <f t="shared" si="21"/>
        <v>0</v>
      </c>
      <c r="T93" s="28">
        <f t="shared" si="22"/>
        <v>0</v>
      </c>
      <c r="U93" s="28">
        <f t="shared" si="23"/>
        <v>0</v>
      </c>
      <c r="V93" s="28">
        <f t="shared" si="24"/>
        <v>0</v>
      </c>
      <c r="W93" s="31">
        <f t="shared" si="26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0"/>
        <v>0</v>
      </c>
      <c r="L94" s="28">
        <f t="shared" si="25"/>
        <v>-1526</v>
      </c>
      <c r="M94" s="810"/>
      <c r="N94" s="810">
        <f>SUM(K94:K103)</f>
        <v>0</v>
      </c>
      <c r="O94" s="30">
        <f t="shared" ref="O94:O103" si="31">IF($N$94=0,0,+K94/$N$94)</f>
        <v>0</v>
      </c>
      <c r="P94" s="238"/>
      <c r="Q94" s="31">
        <f t="shared" si="30"/>
        <v>0</v>
      </c>
      <c r="R94" s="31"/>
      <c r="S94" s="28">
        <f t="shared" si="21"/>
        <v>0</v>
      </c>
      <c r="T94" s="28">
        <f t="shared" si="22"/>
        <v>0</v>
      </c>
      <c r="U94" s="28">
        <f t="shared" si="23"/>
        <v>0</v>
      </c>
      <c r="V94" s="28">
        <f t="shared" si="24"/>
        <v>0</v>
      </c>
      <c r="W94" s="31">
        <f t="shared" si="26"/>
        <v>0</v>
      </c>
      <c r="Y94" s="883"/>
      <c r="Z94" s="588" t="s">
        <v>80</v>
      </c>
      <c r="AA94" s="701">
        <f>(SUMIF($D$2:$D$57,"gnv",$I$2:$I$103))/1000</f>
        <v>0.33</v>
      </c>
      <c r="AB94" s="702">
        <f>(SUMIF($D$2:$D$57,"gnv",$T$2:$T$103))/1000</f>
        <v>0.33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0"/>
        <v>0</v>
      </c>
      <c r="L95" s="28">
        <f t="shared" si="25"/>
        <v>-1526</v>
      </c>
      <c r="M95" s="810"/>
      <c r="N95" s="810"/>
      <c r="O95" s="30">
        <f t="shared" si="31"/>
        <v>0</v>
      </c>
      <c r="P95" s="171"/>
      <c r="Q95" s="31">
        <f t="shared" si="30"/>
        <v>0</v>
      </c>
      <c r="R95" s="31"/>
      <c r="S95" s="28">
        <f t="shared" si="21"/>
        <v>0</v>
      </c>
      <c r="T95" s="28">
        <f t="shared" si="22"/>
        <v>0</v>
      </c>
      <c r="U95" s="28">
        <f t="shared" si="23"/>
        <v>0</v>
      </c>
      <c r="V95" s="28">
        <f t="shared" si="24"/>
        <v>0</v>
      </c>
      <c r="W95" s="31">
        <f t="shared" si="26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8</v>
      </c>
      <c r="AB95" s="702">
        <f>(SUMIF($D$2:$D$57,"termico",$T$2:$T$103)+SUMIF($D$2:$D$57,"electrico",$T$2:$T$103)+SUMIF($D$2:$D$57,"térmico",$T$2:$T$103))/1000</f>
        <v>8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0"/>
        <v>0</v>
      </c>
      <c r="L96" s="28">
        <f t="shared" si="25"/>
        <v>-1526</v>
      </c>
      <c r="M96" s="810"/>
      <c r="N96" s="810"/>
      <c r="O96" s="30">
        <f t="shared" si="31"/>
        <v>0</v>
      </c>
      <c r="P96" s="171"/>
      <c r="Q96" s="31">
        <f t="shared" si="30"/>
        <v>0</v>
      </c>
      <c r="R96" s="31"/>
      <c r="S96" s="28">
        <f t="shared" si="21"/>
        <v>0</v>
      </c>
      <c r="T96" s="28">
        <f t="shared" si="22"/>
        <v>0</v>
      </c>
      <c r="U96" s="28">
        <f t="shared" si="23"/>
        <v>0</v>
      </c>
      <c r="V96" s="28">
        <f t="shared" si="24"/>
        <v>0</v>
      </c>
      <c r="W96" s="31">
        <f t="shared" si="26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0"/>
        <v>0</v>
      </c>
      <c r="L97" s="28">
        <f t="shared" si="25"/>
        <v>-1526</v>
      </c>
      <c r="M97" s="810"/>
      <c r="N97" s="810"/>
      <c r="O97" s="30">
        <f t="shared" si="31"/>
        <v>0</v>
      </c>
      <c r="P97" s="171"/>
      <c r="Q97" s="31">
        <f t="shared" si="30"/>
        <v>0</v>
      </c>
      <c r="R97" s="31"/>
      <c r="S97" s="28">
        <f t="shared" si="21"/>
        <v>0</v>
      </c>
      <c r="T97" s="28">
        <f t="shared" si="22"/>
        <v>0</v>
      </c>
      <c r="U97" s="28">
        <f t="shared" si="23"/>
        <v>0</v>
      </c>
      <c r="V97" s="28">
        <f t="shared" si="24"/>
        <v>0</v>
      </c>
      <c r="W97" s="31">
        <f t="shared" si="26"/>
        <v>0</v>
      </c>
      <c r="Y97" s="825" t="s">
        <v>154</v>
      </c>
      <c r="Z97" s="489" t="s">
        <v>283</v>
      </c>
      <c r="AA97" s="705">
        <f>(SUMIF($D$2:$D$57,"domiciliario",$H$2:$H$103))/1000</f>
        <v>31.716999999999999</v>
      </c>
      <c r="AB97" s="706">
        <f>(SUMIF($D$2:$D$57,"domiciliario",$S$2:$S$103))/1000</f>
        <v>31.716999999999999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0"/>
        <v>0</v>
      </c>
      <c r="L98" s="28">
        <f t="shared" si="25"/>
        <v>-1526</v>
      </c>
      <c r="M98" s="810"/>
      <c r="N98" s="810"/>
      <c r="O98" s="30">
        <f t="shared" si="31"/>
        <v>0</v>
      </c>
      <c r="P98" s="171"/>
      <c r="Q98" s="31">
        <f t="shared" si="30"/>
        <v>0</v>
      </c>
      <c r="R98" s="31"/>
      <c r="S98" s="28">
        <f t="shared" si="21"/>
        <v>0</v>
      </c>
      <c r="T98" s="28">
        <f t="shared" si="22"/>
        <v>0</v>
      </c>
      <c r="U98" s="28">
        <f t="shared" si="23"/>
        <v>0</v>
      </c>
      <c r="V98" s="28">
        <f t="shared" si="24"/>
        <v>0</v>
      </c>
      <c r="W98" s="31">
        <f t="shared" si="26"/>
        <v>0</v>
      </c>
      <c r="Y98" s="826"/>
      <c r="Z98" s="492" t="s">
        <v>284</v>
      </c>
      <c r="AA98" s="707">
        <f>(SUMIF($D$2:$D$57,"industrial",$H$2:$H$103))/1000</f>
        <v>16.170000000000002</v>
      </c>
      <c r="AB98" s="708">
        <f>(SUMIF($D$2:$D$57,"industrial",$S$2:$S$103))/1000</f>
        <v>16.170000000000002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0"/>
        <v>0</v>
      </c>
      <c r="L99" s="28">
        <f t="shared" si="25"/>
        <v>-1526</v>
      </c>
      <c r="M99" s="810"/>
      <c r="N99" s="810"/>
      <c r="O99" s="30">
        <f t="shared" si="31"/>
        <v>0</v>
      </c>
      <c r="P99" s="171"/>
      <c r="Q99" s="31">
        <f t="shared" si="30"/>
        <v>0</v>
      </c>
      <c r="R99" s="31"/>
      <c r="S99" s="28">
        <f t="shared" si="21"/>
        <v>0</v>
      </c>
      <c r="T99" s="28">
        <f t="shared" si="22"/>
        <v>0</v>
      </c>
      <c r="U99" s="28">
        <f t="shared" si="23"/>
        <v>0</v>
      </c>
      <c r="V99" s="28">
        <f t="shared" si="24"/>
        <v>0</v>
      </c>
      <c r="W99" s="31">
        <f t="shared" si="26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0"/>
        <v>0</v>
      </c>
      <c r="L100" s="28">
        <f t="shared" si="25"/>
        <v>-1526</v>
      </c>
      <c r="M100" s="810"/>
      <c r="N100" s="810"/>
      <c r="O100" s="30">
        <f t="shared" si="31"/>
        <v>0</v>
      </c>
      <c r="P100" s="171"/>
      <c r="Q100" s="31">
        <f t="shared" si="30"/>
        <v>0</v>
      </c>
      <c r="R100" s="31"/>
      <c r="S100" s="28">
        <f t="shared" si="21"/>
        <v>0</v>
      </c>
      <c r="T100" s="28">
        <f t="shared" si="22"/>
        <v>0</v>
      </c>
      <c r="U100" s="28">
        <f t="shared" si="23"/>
        <v>0</v>
      </c>
      <c r="V100" s="28">
        <f t="shared" si="24"/>
        <v>0</v>
      </c>
      <c r="W100" s="31">
        <f t="shared" si="26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105.15</v>
      </c>
      <c r="AB100" s="708">
        <f>(SUMIF($D$2:$D$57,"termico",$S$2:$S$103)+SUMIF($D$2:$D$57,"electrico",$S$2:$S$103)+SUMIF($D$2:$D$57,"térmico",$S$2:$S$103))/1000</f>
        <v>105.15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0"/>
        <v>0</v>
      </c>
      <c r="L101" s="28">
        <f t="shared" si="25"/>
        <v>-1526</v>
      </c>
      <c r="M101" s="810"/>
      <c r="N101" s="810"/>
      <c r="O101" s="30">
        <f t="shared" si="31"/>
        <v>0</v>
      </c>
      <c r="P101" s="171"/>
      <c r="Q101" s="31">
        <f t="shared" si="30"/>
        <v>0</v>
      </c>
      <c r="R101" s="31"/>
      <c r="S101" s="28">
        <f t="shared" si="21"/>
        <v>0</v>
      </c>
      <c r="T101" s="28">
        <f t="shared" si="22"/>
        <v>0</v>
      </c>
      <c r="U101" s="28">
        <f t="shared" si="23"/>
        <v>0</v>
      </c>
      <c r="V101" s="28">
        <f t="shared" si="24"/>
        <v>0</v>
      </c>
      <c r="W101" s="31">
        <f t="shared" si="26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0"/>
        <v>0</v>
      </c>
      <c r="L102" s="28">
        <f t="shared" si="25"/>
        <v>-1526</v>
      </c>
      <c r="M102" s="810"/>
      <c r="N102" s="810"/>
      <c r="O102" s="30">
        <f t="shared" si="31"/>
        <v>0</v>
      </c>
      <c r="P102" s="171"/>
      <c r="Q102" s="31">
        <f t="shared" si="30"/>
        <v>0</v>
      </c>
      <c r="R102" s="31"/>
      <c r="S102" s="28">
        <f t="shared" si="21"/>
        <v>0</v>
      </c>
      <c r="T102" s="28">
        <f t="shared" si="22"/>
        <v>0</v>
      </c>
      <c r="U102" s="28">
        <f t="shared" si="23"/>
        <v>0</v>
      </c>
      <c r="V102" s="28">
        <f t="shared" si="24"/>
        <v>0</v>
      </c>
      <c r="W102" s="31">
        <f t="shared" si="26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32.874000000000002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0"/>
        <v>0</v>
      </c>
      <c r="L103" s="28">
        <f t="shared" si="25"/>
        <v>-1526</v>
      </c>
      <c r="M103" s="810"/>
      <c r="N103" s="810"/>
      <c r="O103" s="30">
        <f t="shared" si="31"/>
        <v>0</v>
      </c>
      <c r="P103" s="179"/>
      <c r="Q103" s="31">
        <f t="shared" si="30"/>
        <v>0</v>
      </c>
      <c r="R103" s="31"/>
      <c r="S103" s="28">
        <f t="shared" si="21"/>
        <v>0</v>
      </c>
      <c r="T103" s="28">
        <f t="shared" si="22"/>
        <v>0</v>
      </c>
      <c r="U103" s="28">
        <f t="shared" si="23"/>
        <v>0</v>
      </c>
      <c r="V103" s="28">
        <f t="shared" si="24"/>
        <v>0</v>
      </c>
      <c r="W103" s="31">
        <f t="shared" si="26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153037</v>
      </c>
      <c r="I105" s="252">
        <f>+SUM(I2:I103)</f>
        <v>27806</v>
      </c>
      <c r="J105" s="252">
        <f>+SUM(J2:J103)</f>
        <v>34400</v>
      </c>
      <c r="K105" s="252">
        <f>SUM(K2:K103)</f>
        <v>215243</v>
      </c>
      <c r="L105" s="253">
        <f>+L103</f>
        <v>-1526</v>
      </c>
      <c r="M105" s="252">
        <f>SUM(M2:M103)</f>
        <v>0</v>
      </c>
      <c r="N105" s="252">
        <f>SUM(N2:N103)</f>
        <v>215243</v>
      </c>
      <c r="O105" s="252"/>
      <c r="P105" s="252">
        <f>SUM(P2:P103)</f>
        <v>0</v>
      </c>
      <c r="Q105" s="252">
        <f>SUM(Q2:Q103)</f>
        <v>0</v>
      </c>
      <c r="R105" s="252">
        <f>SUM(R2:R103)</f>
        <v>-1526</v>
      </c>
      <c r="S105" s="252">
        <f>SUM(S2:S103)</f>
        <v>153037</v>
      </c>
      <c r="T105" s="252">
        <f>+SUM(T2:T103)</f>
        <v>27806</v>
      </c>
      <c r="U105" s="252">
        <f>SUM(U2:U103)</f>
        <v>32874</v>
      </c>
      <c r="V105" s="252">
        <f>SUM(V2:V103)</f>
        <v>213717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>
        <v>131037</v>
      </c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>
        <f>H106-H105</f>
        <v>-22000</v>
      </c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194743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-12589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AK72:AK74"/>
    <mergeCell ref="AL72:AL74"/>
    <mergeCell ref="AB75:AD75"/>
    <mergeCell ref="M85:M103"/>
    <mergeCell ref="N85:N93"/>
    <mergeCell ref="Y92:Y96"/>
    <mergeCell ref="N94:N103"/>
    <mergeCell ref="Y97:Y101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N2:N26"/>
    <mergeCell ref="P2:P26"/>
    <mergeCell ref="N27:N49"/>
    <mergeCell ref="P27:P49"/>
    <mergeCell ref="Y33:Y34"/>
    <mergeCell ref="AQ2:AU2"/>
    <mergeCell ref="AB15:AC15"/>
    <mergeCell ref="AB16:AC16"/>
    <mergeCell ref="AB17:AC17"/>
    <mergeCell ref="AB1:AE1"/>
    <mergeCell ref="AF1:AF2"/>
    <mergeCell ref="AG1:AG2"/>
  </mergeCells>
  <conditionalFormatting sqref="AA78">
    <cfRule type="cellIs" dxfId="19" priority="3" operator="lessThan">
      <formula>$AA$78</formula>
    </cfRule>
    <cfRule type="cellIs" dxfId="18" priority="5" operator="greaterThan">
      <formula>$AE$78</formula>
    </cfRule>
  </conditionalFormatting>
  <conditionalFormatting sqref="AA79">
    <cfRule type="cellIs" dxfId="17" priority="4" operator="greaterThan">
      <formula>$AE$79</formula>
    </cfRule>
  </conditionalFormatting>
  <conditionalFormatting sqref="AA80">
    <cfRule type="cellIs" dxfId="16" priority="2" operator="greaterThan">
      <formula>$AE$79</formula>
    </cfRule>
  </conditionalFormatting>
  <conditionalFormatting sqref="AU4:AU23">
    <cfRule type="cellIs" dxfId="1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86"/>
  <sheetViews>
    <sheetView topLeftCell="W52" zoomScale="90" zoomScaleNormal="90" workbookViewId="0">
      <selection activeCell="AD58" sqref="AD58:AD60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 t="shared" ref="K2:K65" si="0">SUM(H2:J2)</f>
        <v>3000</v>
      </c>
      <c r="L2" s="28">
        <f>AA4-K2</f>
        <v>210717</v>
      </c>
      <c r="M2" s="29"/>
      <c r="N2" s="798">
        <f>SUM(K2:K26)</f>
        <v>171536</v>
      </c>
      <c r="O2" s="30">
        <f t="shared" ref="O2:O17" si="1">+K2/$N$2</f>
        <v>1.7489040201473745E-2</v>
      </c>
      <c r="P2" s="801"/>
      <c r="Q2" s="31">
        <f t="shared" ref="Q2:Q15" si="2">IF($P$2=0,0,(-($P$2*O2)+K2)-K2)</f>
        <v>0</v>
      </c>
      <c r="R2" s="31"/>
      <c r="S2" s="28">
        <f t="shared" ref="S2:S65" si="3">IF(H2&lt;&gt;0,+H2+Q2+R2,0)</f>
        <v>3000</v>
      </c>
      <c r="T2" s="28">
        <f t="shared" ref="T2:T65" si="4">IF(I2&lt;&gt;0,+I2+Q2+R2,0)</f>
        <v>0</v>
      </c>
      <c r="U2" s="28">
        <f t="shared" ref="U2:U65" si="5">IF(J2&lt;&gt;0,+J2+Q2+R2,0)</f>
        <v>0</v>
      </c>
      <c r="V2" s="28">
        <f t="shared" ref="V2:V65" si="6">+S2+T2+U2</f>
        <v>3000</v>
      </c>
      <c r="W2" s="31">
        <f>Z24-V2</f>
        <v>210717</v>
      </c>
      <c r="X2" s="32">
        <f t="shared" ref="X2:X17" si="7"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61" t="s">
        <v>31</v>
      </c>
      <c r="AE2" s="761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si="0"/>
        <v>1100</v>
      </c>
      <c r="L3" s="28">
        <f t="shared" ref="L3:L66" si="8">+L2-K3</f>
        <v>209617</v>
      </c>
      <c r="M3" s="29"/>
      <c r="N3" s="799"/>
      <c r="O3" s="30">
        <f t="shared" si="1"/>
        <v>6.4126480738737057E-3</v>
      </c>
      <c r="P3" s="802"/>
      <c r="Q3" s="31">
        <f t="shared" si="2"/>
        <v>0</v>
      </c>
      <c r="R3" s="31"/>
      <c r="S3" s="28">
        <f t="shared" si="3"/>
        <v>0</v>
      </c>
      <c r="T3" s="28">
        <f t="shared" si="4"/>
        <v>1100</v>
      </c>
      <c r="U3" s="28">
        <f t="shared" si="5"/>
        <v>0</v>
      </c>
      <c r="V3" s="28">
        <f t="shared" si="6"/>
        <v>1100</v>
      </c>
      <c r="W3" s="31">
        <f t="shared" ref="W3:W66" si="9">+W2-V3</f>
        <v>209617</v>
      </c>
      <c r="X3" s="32">
        <f t="shared" si="7"/>
        <v>0</v>
      </c>
      <c r="Y3" s="37" t="s">
        <v>34</v>
      </c>
      <c r="Z3" s="38">
        <f>ROUND((Z13*57%),0)</f>
        <v>284088</v>
      </c>
      <c r="AA3" s="39">
        <f>ROUND((+Z14*0.57),0)</f>
        <v>283300</v>
      </c>
      <c r="AB3" s="454">
        <v>66091</v>
      </c>
      <c r="AC3" s="455">
        <v>170034</v>
      </c>
      <c r="AD3" s="40">
        <v>47126</v>
      </c>
      <c r="AE3" s="736">
        <f>SUM(AB3:AD3)</f>
        <v>283251</v>
      </c>
      <c r="AF3" s="41">
        <f>AA3-AE3</f>
        <v>49</v>
      </c>
      <c r="AG3" s="42">
        <f>AA3-AB3-AC3-AD3</f>
        <v>49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8"/>
        <v>198424</v>
      </c>
      <c r="M4" s="29"/>
      <c r="N4" s="799"/>
      <c r="O4" s="30">
        <f t="shared" si="1"/>
        <v>6.5251608991698531E-2</v>
      </c>
      <c r="P4" s="802"/>
      <c r="Q4" s="31">
        <f t="shared" si="2"/>
        <v>0</v>
      </c>
      <c r="R4" s="31"/>
      <c r="S4" s="28">
        <f t="shared" si="3"/>
        <v>0</v>
      </c>
      <c r="T4" s="28">
        <f t="shared" si="4"/>
        <v>11193</v>
      </c>
      <c r="U4" s="28">
        <f t="shared" si="5"/>
        <v>0</v>
      </c>
      <c r="V4" s="28">
        <f t="shared" si="6"/>
        <v>11193</v>
      </c>
      <c r="W4" s="31">
        <f t="shared" si="9"/>
        <v>198424</v>
      </c>
      <c r="X4" s="32">
        <f t="shared" si="7"/>
        <v>0</v>
      </c>
      <c r="Y4" s="37" t="s">
        <v>38</v>
      </c>
      <c r="Z4" s="38">
        <f>ROUND((Z13*43%),0)</f>
        <v>214312</v>
      </c>
      <c r="AA4" s="39">
        <f>ROUND((+Z14*0.43),0)</f>
        <v>213717</v>
      </c>
      <c r="AB4" s="43">
        <f>T105</f>
        <v>27806</v>
      </c>
      <c r="AC4" s="43">
        <f>S105</f>
        <v>153037</v>
      </c>
      <c r="AD4" s="40">
        <f>U105</f>
        <v>32874</v>
      </c>
      <c r="AE4" s="736">
        <f>SUM(AB4:AD4)</f>
        <v>213717</v>
      </c>
      <c r="AF4" s="41">
        <f>AA4-AE4</f>
        <v>0</v>
      </c>
      <c r="AG4" s="42">
        <f>AA4-AB4-AC4-AD4</f>
        <v>0</v>
      </c>
      <c r="AH4" s="751">
        <f>AG4/1000</f>
        <v>0</v>
      </c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8"/>
        <v>197224</v>
      </c>
      <c r="M5" s="29"/>
      <c r="N5" s="799"/>
      <c r="O5" s="30">
        <f t="shared" si="1"/>
        <v>6.9956160805894974E-3</v>
      </c>
      <c r="P5" s="802"/>
      <c r="Q5" s="31">
        <f t="shared" si="2"/>
        <v>0</v>
      </c>
      <c r="R5" s="31"/>
      <c r="S5" s="28">
        <f t="shared" si="3"/>
        <v>0</v>
      </c>
      <c r="T5" s="28">
        <f t="shared" si="4"/>
        <v>1200</v>
      </c>
      <c r="U5" s="28">
        <f t="shared" si="5"/>
        <v>0</v>
      </c>
      <c r="V5" s="28">
        <f t="shared" si="6"/>
        <v>1200</v>
      </c>
      <c r="W5" s="31">
        <f t="shared" si="9"/>
        <v>197224</v>
      </c>
      <c r="X5" s="32">
        <f t="shared" si="7"/>
        <v>0</v>
      </c>
      <c r="Y5" s="44" t="s">
        <v>41</v>
      </c>
      <c r="Z5" s="38">
        <f>SUM(Z3:Z4)</f>
        <v>498400</v>
      </c>
      <c r="AA5" s="45">
        <f>SUM(AA3:AA4)</f>
        <v>497017</v>
      </c>
      <c r="AB5" s="46">
        <f>SUM(AB3:AB4)</f>
        <v>93897</v>
      </c>
      <c r="AC5" s="41">
        <f>SUM(AC3:AC4)</f>
        <v>323071</v>
      </c>
      <c r="AD5" s="40">
        <f>SUM(AD3:AD4)</f>
        <v>80000</v>
      </c>
      <c r="AE5" s="41">
        <f>SUM(AB5:AD5)</f>
        <v>496968</v>
      </c>
      <c r="AF5" s="47">
        <f>SUM(AF3:AF4)</f>
        <v>49</v>
      </c>
      <c r="AG5" s="47">
        <f>SUM(AG3:AG4)</f>
        <v>49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8"/>
        <v>185224</v>
      </c>
      <c r="M6" s="29"/>
      <c r="N6" s="799"/>
      <c r="O6" s="30">
        <f t="shared" si="1"/>
        <v>6.9956160805894979E-2</v>
      </c>
      <c r="P6" s="802"/>
      <c r="Q6" s="31">
        <f t="shared" si="2"/>
        <v>0</v>
      </c>
      <c r="R6" s="48"/>
      <c r="S6" s="28">
        <f t="shared" si="3"/>
        <v>12000</v>
      </c>
      <c r="T6" s="28">
        <f t="shared" si="4"/>
        <v>0</v>
      </c>
      <c r="U6" s="28">
        <f t="shared" si="5"/>
        <v>0</v>
      </c>
      <c r="V6" s="28">
        <f t="shared" si="6"/>
        <v>12000</v>
      </c>
      <c r="W6" s="31">
        <f t="shared" si="9"/>
        <v>185224</v>
      </c>
      <c r="X6" s="32">
        <f t="shared" si="7"/>
        <v>0</v>
      </c>
      <c r="Z6" s="49">
        <f>5000*43%</f>
        <v>2150</v>
      </c>
      <c r="AA6" s="50"/>
      <c r="AB6" s="17"/>
      <c r="AC6" s="50"/>
      <c r="AD6" s="51">
        <f>80000-AD4</f>
        <v>47126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1940+11987</f>
        <v>13927</v>
      </c>
      <c r="I7" s="518">
        <f>800+460+2813</f>
        <v>4073</v>
      </c>
      <c r="J7" s="26"/>
      <c r="K7" s="27">
        <f t="shared" si="0"/>
        <v>18000</v>
      </c>
      <c r="L7" s="28">
        <f t="shared" si="8"/>
        <v>167224</v>
      </c>
      <c r="M7" s="29"/>
      <c r="N7" s="799"/>
      <c r="O7" s="30">
        <f t="shared" si="1"/>
        <v>0.10493424120884245</v>
      </c>
      <c r="P7" s="802"/>
      <c r="Q7" s="31">
        <f t="shared" si="2"/>
        <v>0</v>
      </c>
      <c r="R7" s="31"/>
      <c r="S7" s="28">
        <f t="shared" si="3"/>
        <v>13927</v>
      </c>
      <c r="T7" s="28">
        <f t="shared" si="4"/>
        <v>4073</v>
      </c>
      <c r="U7" s="28">
        <f t="shared" si="5"/>
        <v>0</v>
      </c>
      <c r="V7" s="28">
        <f t="shared" si="6"/>
        <v>18000</v>
      </c>
      <c r="W7" s="31">
        <f t="shared" si="9"/>
        <v>167224</v>
      </c>
      <c r="X7" s="32">
        <f t="shared" si="7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8"/>
        <v>164724</v>
      </c>
      <c r="M8" s="29"/>
      <c r="N8" s="799"/>
      <c r="O8" s="30">
        <f t="shared" si="1"/>
        <v>1.4574200167894786E-2</v>
      </c>
      <c r="P8" s="802"/>
      <c r="Q8" s="31">
        <f t="shared" si="2"/>
        <v>0</v>
      </c>
      <c r="R8" s="31"/>
      <c r="S8" s="28">
        <f t="shared" si="3"/>
        <v>2500</v>
      </c>
      <c r="T8" s="28">
        <f t="shared" si="4"/>
        <v>0</v>
      </c>
      <c r="U8" s="28">
        <f t="shared" si="5"/>
        <v>0</v>
      </c>
      <c r="V8" s="28">
        <f t="shared" si="6"/>
        <v>2500</v>
      </c>
      <c r="W8" s="31">
        <f t="shared" si="9"/>
        <v>164724</v>
      </c>
      <c r="X8" s="32">
        <f t="shared" si="7"/>
        <v>0</v>
      </c>
      <c r="Y8" s="14" t="s">
        <v>47</v>
      </c>
      <c r="Z8" s="732">
        <f ca="1">TODAY()+1</f>
        <v>41938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290</v>
      </c>
      <c r="I9" s="518">
        <v>1910</v>
      </c>
      <c r="J9" s="26"/>
      <c r="K9" s="27">
        <f t="shared" si="0"/>
        <v>2200</v>
      </c>
      <c r="L9" s="28">
        <f t="shared" si="8"/>
        <v>162524</v>
      </c>
      <c r="M9" s="29"/>
      <c r="N9" s="799"/>
      <c r="O9" s="30">
        <f t="shared" si="1"/>
        <v>1.2825296147747411E-2</v>
      </c>
      <c r="P9" s="802"/>
      <c r="Q9" s="31">
        <f t="shared" si="2"/>
        <v>0</v>
      </c>
      <c r="R9" s="31"/>
      <c r="S9" s="28">
        <f t="shared" si="3"/>
        <v>290</v>
      </c>
      <c r="T9" s="28">
        <f t="shared" si="4"/>
        <v>1910</v>
      </c>
      <c r="U9" s="28">
        <f t="shared" si="5"/>
        <v>0</v>
      </c>
      <c r="V9" s="28">
        <f t="shared" si="6"/>
        <v>2200</v>
      </c>
      <c r="W9" s="31">
        <f t="shared" si="9"/>
        <v>162524</v>
      </c>
      <c r="X9" s="32">
        <f t="shared" si="7"/>
        <v>0</v>
      </c>
      <c r="Y9" s="14" t="s">
        <v>189</v>
      </c>
      <c r="Z9" s="58">
        <v>498400</v>
      </c>
      <c r="AA9" s="59">
        <f>Z9*14.65/14.73</f>
        <v>495693.14324507804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8"/>
        <v>142524</v>
      </c>
      <c r="M10" s="29"/>
      <c r="N10" s="799"/>
      <c r="O10" s="30">
        <f t="shared" si="1"/>
        <v>0.11659360134315828</v>
      </c>
      <c r="P10" s="802"/>
      <c r="Q10" s="31">
        <f t="shared" si="2"/>
        <v>0</v>
      </c>
      <c r="R10" s="31">
        <v>0</v>
      </c>
      <c r="S10" s="28">
        <f t="shared" si="3"/>
        <v>15000</v>
      </c>
      <c r="T10" s="28">
        <f t="shared" si="4"/>
        <v>5000</v>
      </c>
      <c r="U10" s="28">
        <f t="shared" si="5"/>
        <v>0</v>
      </c>
      <c r="V10" s="28">
        <f t="shared" si="6"/>
        <v>20000</v>
      </c>
      <c r="W10" s="31">
        <f t="shared" si="9"/>
        <v>142524</v>
      </c>
      <c r="X10" s="32">
        <f t="shared" si="7"/>
        <v>0</v>
      </c>
      <c r="Y10" s="14" t="s">
        <v>191</v>
      </c>
      <c r="Z10" s="58">
        <f>ROUND((Z9*Z30),0)</f>
        <v>497017</v>
      </c>
      <c r="AA10" s="59">
        <f>Z10*14.65/14.73</f>
        <v>494317.6544467074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8"/>
        <v>124524</v>
      </c>
      <c r="M11" s="29"/>
      <c r="N11" s="799"/>
      <c r="O11" s="30">
        <f t="shared" si="1"/>
        <v>0.10493424120884245</v>
      </c>
      <c r="P11" s="802"/>
      <c r="Q11" s="31">
        <f t="shared" si="2"/>
        <v>0</v>
      </c>
      <c r="R11" s="31">
        <v>0</v>
      </c>
      <c r="S11" s="28">
        <f t="shared" si="3"/>
        <v>18000</v>
      </c>
      <c r="T11" s="28">
        <f t="shared" si="4"/>
        <v>0</v>
      </c>
      <c r="U11" s="28">
        <f t="shared" si="5"/>
        <v>0</v>
      </c>
      <c r="V11" s="28">
        <f t="shared" si="6"/>
        <v>18000</v>
      </c>
      <c r="W11" s="31">
        <f t="shared" si="9"/>
        <v>124524</v>
      </c>
      <c r="X11" s="32">
        <f t="shared" si="7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8"/>
        <v>120924</v>
      </c>
      <c r="M12" s="29"/>
      <c r="N12" s="799"/>
      <c r="O12" s="30">
        <f t="shared" si="1"/>
        <v>2.0986848241768493E-2</v>
      </c>
      <c r="P12" s="802"/>
      <c r="Q12" s="31">
        <f t="shared" si="2"/>
        <v>0</v>
      </c>
      <c r="R12" s="31">
        <v>0</v>
      </c>
      <c r="S12" s="28">
        <f t="shared" si="3"/>
        <v>3600</v>
      </c>
      <c r="T12" s="28">
        <f t="shared" si="4"/>
        <v>0</v>
      </c>
      <c r="U12" s="28">
        <f t="shared" si="5"/>
        <v>0</v>
      </c>
      <c r="V12" s="28">
        <f t="shared" si="6"/>
        <v>3600</v>
      </c>
      <c r="W12" s="31">
        <f t="shared" si="9"/>
        <v>120924</v>
      </c>
      <c r="X12" s="32">
        <f t="shared" si="7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8"/>
        <v>114924</v>
      </c>
      <c r="M13" s="29"/>
      <c r="N13" s="799"/>
      <c r="O13" s="30">
        <f t="shared" si="1"/>
        <v>3.497808040294749E-2</v>
      </c>
      <c r="P13" s="802"/>
      <c r="Q13" s="31">
        <f t="shared" si="2"/>
        <v>0</v>
      </c>
      <c r="R13" s="31">
        <v>0</v>
      </c>
      <c r="S13" s="28">
        <f t="shared" si="3"/>
        <v>6000</v>
      </c>
      <c r="T13" s="28">
        <f t="shared" si="4"/>
        <v>0</v>
      </c>
      <c r="U13" s="28">
        <f t="shared" si="5"/>
        <v>0</v>
      </c>
      <c r="V13" s="28">
        <f t="shared" si="6"/>
        <v>6000</v>
      </c>
      <c r="W13" s="31">
        <f t="shared" si="9"/>
        <v>114924</v>
      </c>
      <c r="X13" s="32">
        <f t="shared" si="7"/>
        <v>0</v>
      </c>
      <c r="Y13" s="14" t="s">
        <v>67</v>
      </c>
      <c r="Z13" s="67">
        <f>Z14/Z30</f>
        <v>498399.51744236558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/>
      <c r="I14" s="26">
        <v>0</v>
      </c>
      <c r="J14" s="26"/>
      <c r="K14" s="27">
        <f t="shared" si="0"/>
        <v>0</v>
      </c>
      <c r="L14" s="28">
        <f t="shared" si="8"/>
        <v>114924</v>
      </c>
      <c r="M14" s="29"/>
      <c r="N14" s="799"/>
      <c r="O14" s="30">
        <f t="shared" si="1"/>
        <v>0</v>
      </c>
      <c r="P14" s="802"/>
      <c r="Q14" s="31">
        <f t="shared" si="2"/>
        <v>0</v>
      </c>
      <c r="R14" s="31">
        <v>0</v>
      </c>
      <c r="S14" s="28">
        <f t="shared" si="3"/>
        <v>0</v>
      </c>
      <c r="T14" s="28">
        <f t="shared" si="4"/>
        <v>0</v>
      </c>
      <c r="U14" s="28">
        <f t="shared" si="5"/>
        <v>0</v>
      </c>
      <c r="V14" s="28">
        <f t="shared" si="6"/>
        <v>0</v>
      </c>
      <c r="W14" s="31">
        <f t="shared" si="9"/>
        <v>114924</v>
      </c>
      <c r="X14" s="32">
        <f t="shared" si="7"/>
        <v>0</v>
      </c>
      <c r="Y14" s="14" t="s">
        <v>70</v>
      </c>
      <c r="Z14" s="67">
        <f>+Z10-(Z11+Z12)</f>
        <v>497017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11343</v>
      </c>
      <c r="I15" s="26"/>
      <c r="J15" s="26"/>
      <c r="K15" s="27">
        <f t="shared" si="0"/>
        <v>11343</v>
      </c>
      <c r="L15" s="28">
        <f t="shared" si="8"/>
        <v>103581</v>
      </c>
      <c r="M15" s="29"/>
      <c r="N15" s="799"/>
      <c r="O15" s="30">
        <f t="shared" si="1"/>
        <v>6.6126061001772221E-2</v>
      </c>
      <c r="P15" s="802"/>
      <c r="Q15" s="31">
        <f t="shared" si="2"/>
        <v>0</v>
      </c>
      <c r="R15" s="31">
        <v>0</v>
      </c>
      <c r="S15" s="28">
        <f t="shared" si="3"/>
        <v>11343</v>
      </c>
      <c r="T15" s="28">
        <f t="shared" si="4"/>
        <v>0</v>
      </c>
      <c r="U15" s="28">
        <f t="shared" si="5"/>
        <v>0</v>
      </c>
      <c r="V15" s="28">
        <f t="shared" si="6"/>
        <v>11343</v>
      </c>
      <c r="W15" s="31">
        <f t="shared" si="9"/>
        <v>103581</v>
      </c>
      <c r="X15" s="32">
        <f t="shared" si="7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/>
      <c r="I16" s="26"/>
      <c r="J16" s="26"/>
      <c r="K16" s="27">
        <f t="shared" si="0"/>
        <v>0</v>
      </c>
      <c r="L16" s="28">
        <f t="shared" si="8"/>
        <v>103581</v>
      </c>
      <c r="M16" s="29"/>
      <c r="N16" s="799"/>
      <c r="O16" s="30">
        <f t="shared" si="1"/>
        <v>0</v>
      </c>
      <c r="P16" s="802"/>
      <c r="Q16" s="31">
        <v>0</v>
      </c>
      <c r="R16" s="31">
        <v>0</v>
      </c>
      <c r="S16" s="28">
        <f t="shared" si="3"/>
        <v>0</v>
      </c>
      <c r="T16" s="28">
        <f t="shared" si="4"/>
        <v>0</v>
      </c>
      <c r="U16" s="28">
        <f t="shared" si="5"/>
        <v>0</v>
      </c>
      <c r="V16" s="28">
        <f t="shared" si="6"/>
        <v>0</v>
      </c>
      <c r="W16" s="31">
        <f t="shared" si="9"/>
        <v>103581</v>
      </c>
      <c r="X16" s="32">
        <f t="shared" si="7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3000</v>
      </c>
      <c r="J17" s="26"/>
      <c r="K17" s="27">
        <f t="shared" si="0"/>
        <v>3000</v>
      </c>
      <c r="L17" s="28">
        <f t="shared" si="8"/>
        <v>100581</v>
      </c>
      <c r="M17" s="29"/>
      <c r="N17" s="799"/>
      <c r="O17" s="30">
        <f t="shared" si="1"/>
        <v>1.7489040201473745E-2</v>
      </c>
      <c r="P17" s="802"/>
      <c r="Q17" s="31">
        <f t="shared" ref="Q17:Q29" si="10">IF($P$2=0,0,(-($P$2*O17)+K17)-K17)</f>
        <v>0</v>
      </c>
      <c r="R17" s="31">
        <v>0</v>
      </c>
      <c r="S17" s="28">
        <f t="shared" si="3"/>
        <v>0</v>
      </c>
      <c r="T17" s="28">
        <f t="shared" si="4"/>
        <v>3000</v>
      </c>
      <c r="U17" s="28">
        <f t="shared" si="5"/>
        <v>0</v>
      </c>
      <c r="V17" s="28">
        <f t="shared" si="6"/>
        <v>3000</v>
      </c>
      <c r="W17" s="31">
        <f t="shared" si="9"/>
        <v>100581</v>
      </c>
      <c r="X17" s="32">
        <f t="shared" si="7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330</v>
      </c>
      <c r="J18" s="26"/>
      <c r="K18" s="27">
        <f t="shared" si="0"/>
        <v>330</v>
      </c>
      <c r="L18" s="28">
        <f t="shared" si="8"/>
        <v>100251</v>
      </c>
      <c r="M18" s="29"/>
      <c r="N18" s="799"/>
      <c r="O18" s="30"/>
      <c r="P18" s="802"/>
      <c r="Q18" s="31">
        <f t="shared" si="10"/>
        <v>0</v>
      </c>
      <c r="R18" s="31">
        <v>0</v>
      </c>
      <c r="S18" s="28">
        <f t="shared" si="3"/>
        <v>0</v>
      </c>
      <c r="T18" s="28">
        <f t="shared" si="4"/>
        <v>330</v>
      </c>
      <c r="U18" s="28">
        <f t="shared" si="5"/>
        <v>0</v>
      </c>
      <c r="V18" s="28">
        <f t="shared" si="6"/>
        <v>330</v>
      </c>
      <c r="W18" s="31">
        <f t="shared" si="9"/>
        <v>100251</v>
      </c>
      <c r="X18" s="32"/>
      <c r="Y18" s="14" t="s">
        <v>77</v>
      </c>
      <c r="Z18" s="71">
        <f>ROUND(Z14*0.43,0)</f>
        <v>213717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2670</v>
      </c>
      <c r="I19" s="26"/>
      <c r="J19" s="26"/>
      <c r="K19" s="27">
        <f t="shared" si="0"/>
        <v>2670</v>
      </c>
      <c r="L19" s="28">
        <f t="shared" si="8"/>
        <v>97581</v>
      </c>
      <c r="M19" s="29"/>
      <c r="N19" s="799"/>
      <c r="O19" s="30">
        <f>+K19/$N$2</f>
        <v>1.5565245779311631E-2</v>
      </c>
      <c r="P19" s="802"/>
      <c r="Q19" s="31">
        <f t="shared" si="10"/>
        <v>0</v>
      </c>
      <c r="R19" s="31">
        <v>0</v>
      </c>
      <c r="S19" s="28">
        <f t="shared" si="3"/>
        <v>2670</v>
      </c>
      <c r="T19" s="28">
        <f t="shared" si="4"/>
        <v>0</v>
      </c>
      <c r="U19" s="28">
        <f t="shared" si="5"/>
        <v>0</v>
      </c>
      <c r="V19" s="28">
        <f t="shared" si="6"/>
        <v>2670</v>
      </c>
      <c r="W19" s="31">
        <f t="shared" si="9"/>
        <v>97581</v>
      </c>
      <c r="X19" s="32">
        <f>W19-L19</f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8"/>
        <v>96081</v>
      </c>
      <c r="M20" s="29"/>
      <c r="N20" s="799"/>
      <c r="O20" s="30">
        <f>+K20/$N$2</f>
        <v>8.7445201007368724E-3</v>
      </c>
      <c r="P20" s="802"/>
      <c r="Q20" s="31">
        <f t="shared" si="10"/>
        <v>0</v>
      </c>
      <c r="R20" s="31">
        <v>0</v>
      </c>
      <c r="S20" s="28">
        <f t="shared" si="3"/>
        <v>1500</v>
      </c>
      <c r="T20" s="28">
        <f t="shared" si="4"/>
        <v>0</v>
      </c>
      <c r="U20" s="28">
        <f t="shared" si="5"/>
        <v>0</v>
      </c>
      <c r="V20" s="28">
        <f t="shared" si="6"/>
        <v>1500</v>
      </c>
      <c r="W20" s="31">
        <f t="shared" si="9"/>
        <v>96081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8"/>
        <v>96081</v>
      </c>
      <c r="M21" s="29"/>
      <c r="N21" s="799"/>
      <c r="O21" s="30"/>
      <c r="P21" s="802"/>
      <c r="Q21" s="31">
        <f t="shared" si="10"/>
        <v>0</v>
      </c>
      <c r="R21" s="31">
        <v>0</v>
      </c>
      <c r="S21" s="28">
        <f t="shared" si="3"/>
        <v>0</v>
      </c>
      <c r="T21" s="28">
        <f t="shared" si="4"/>
        <v>0</v>
      </c>
      <c r="U21" s="28">
        <f t="shared" si="5"/>
        <v>0</v>
      </c>
      <c r="V21" s="28">
        <f t="shared" si="6"/>
        <v>0</v>
      </c>
      <c r="W21" s="31">
        <f t="shared" si="9"/>
        <v>96081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8"/>
        <v>88581</v>
      </c>
      <c r="M22" s="29"/>
      <c r="N22" s="799"/>
      <c r="O22" s="30">
        <f>+K22/$N$2</f>
        <v>4.3722600503684358E-2</v>
      </c>
      <c r="P22" s="802"/>
      <c r="Q22" s="31">
        <f t="shared" si="10"/>
        <v>0</v>
      </c>
      <c r="R22" s="31">
        <v>0</v>
      </c>
      <c r="S22" s="28">
        <f t="shared" si="3"/>
        <v>7500</v>
      </c>
      <c r="T22" s="28">
        <f t="shared" si="4"/>
        <v>0</v>
      </c>
      <c r="U22" s="28">
        <f t="shared" si="5"/>
        <v>0</v>
      </c>
      <c r="V22" s="28">
        <f t="shared" si="6"/>
        <v>7500</v>
      </c>
      <c r="W22" s="31">
        <f t="shared" si="9"/>
        <v>88581</v>
      </c>
      <c r="X22" s="32">
        <f>W22-L22</f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8"/>
        <v>88581</v>
      </c>
      <c r="M23" s="29"/>
      <c r="N23" s="799"/>
      <c r="O23" s="30"/>
      <c r="P23" s="802"/>
      <c r="Q23" s="31">
        <f t="shared" si="10"/>
        <v>0</v>
      </c>
      <c r="R23" s="31"/>
      <c r="S23" s="28">
        <f t="shared" si="3"/>
        <v>0</v>
      </c>
      <c r="T23" s="28">
        <f t="shared" si="4"/>
        <v>0</v>
      </c>
      <c r="U23" s="28">
        <f t="shared" si="5"/>
        <v>0</v>
      </c>
      <c r="V23" s="28">
        <f t="shared" si="6"/>
        <v>0</v>
      </c>
      <c r="W23" s="31">
        <f t="shared" si="9"/>
        <v>88581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8"/>
        <v>88581</v>
      </c>
      <c r="M24" s="29"/>
      <c r="N24" s="799"/>
      <c r="O24" s="30">
        <f t="shared" ref="O24:O29" si="11">+K24/$N$2</f>
        <v>0</v>
      </c>
      <c r="P24" s="802"/>
      <c r="Q24" s="31">
        <f t="shared" si="10"/>
        <v>0</v>
      </c>
      <c r="R24" s="31">
        <v>0</v>
      </c>
      <c r="S24" s="28">
        <f t="shared" si="3"/>
        <v>0</v>
      </c>
      <c r="T24" s="28">
        <f t="shared" si="4"/>
        <v>0</v>
      </c>
      <c r="U24" s="28">
        <f t="shared" si="5"/>
        <v>0</v>
      </c>
      <c r="V24" s="28">
        <f t="shared" si="6"/>
        <v>0</v>
      </c>
      <c r="W24" s="31">
        <f t="shared" si="9"/>
        <v>88581</v>
      </c>
      <c r="X24" s="32">
        <f t="shared" ref="X24:X39" si="12">W24-L24</f>
        <v>0</v>
      </c>
      <c r="Y24" s="74" t="s">
        <v>169</v>
      </c>
      <c r="Z24" s="680">
        <f>+Z18+Z19</f>
        <v>213717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8"/>
        <v>76581</v>
      </c>
      <c r="M25" s="29"/>
      <c r="N25" s="799"/>
      <c r="O25" s="30">
        <f t="shared" si="11"/>
        <v>6.9956160805894979E-2</v>
      </c>
      <c r="P25" s="802"/>
      <c r="Q25" s="31">
        <f t="shared" si="10"/>
        <v>0</v>
      </c>
      <c r="R25" s="31"/>
      <c r="S25" s="28">
        <f t="shared" si="3"/>
        <v>12000</v>
      </c>
      <c r="T25" s="28">
        <f t="shared" si="4"/>
        <v>0</v>
      </c>
      <c r="U25" s="28">
        <f t="shared" si="5"/>
        <v>0</v>
      </c>
      <c r="V25" s="28">
        <f t="shared" si="6"/>
        <v>12000</v>
      </c>
      <c r="W25" s="31">
        <f t="shared" si="9"/>
        <v>76581</v>
      </c>
      <c r="X25" s="32">
        <f t="shared" si="12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8"/>
        <v>42181</v>
      </c>
      <c r="M26" s="86"/>
      <c r="N26" s="800"/>
      <c r="O26" s="87">
        <f t="shared" si="11"/>
        <v>0.20054099431023226</v>
      </c>
      <c r="P26" s="803"/>
      <c r="Q26" s="144">
        <f t="shared" si="10"/>
        <v>0</v>
      </c>
      <c r="R26" s="144">
        <f>32874-34400</f>
        <v>-1526</v>
      </c>
      <c r="S26" s="423">
        <f t="shared" si="3"/>
        <v>0</v>
      </c>
      <c r="T26" s="423">
        <f t="shared" si="4"/>
        <v>0</v>
      </c>
      <c r="U26" s="423">
        <f t="shared" si="5"/>
        <v>32874</v>
      </c>
      <c r="V26" s="423">
        <f t="shared" si="6"/>
        <v>32874</v>
      </c>
      <c r="W26" s="144">
        <f t="shared" si="9"/>
        <v>43707</v>
      </c>
      <c r="X26" s="32">
        <f t="shared" si="12"/>
        <v>1526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8"/>
        <v>42181</v>
      </c>
      <c r="M27" s="95"/>
      <c r="N27" s="804">
        <f>SUM(K27:K49)</f>
        <v>41707</v>
      </c>
      <c r="O27" s="96">
        <f t="shared" si="11"/>
        <v>0</v>
      </c>
      <c r="P27" s="805"/>
      <c r="Q27" s="97">
        <f t="shared" si="10"/>
        <v>0</v>
      </c>
      <c r="R27" s="157"/>
      <c r="S27" s="422">
        <f t="shared" si="3"/>
        <v>0</v>
      </c>
      <c r="T27" s="422">
        <f t="shared" si="4"/>
        <v>0</v>
      </c>
      <c r="U27" s="422">
        <f t="shared" si="5"/>
        <v>0</v>
      </c>
      <c r="V27" s="422">
        <f t="shared" si="6"/>
        <v>0</v>
      </c>
      <c r="W27" s="97">
        <f t="shared" si="9"/>
        <v>43707</v>
      </c>
      <c r="X27" s="32">
        <f t="shared" si="12"/>
        <v>1526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8"/>
        <v>42181</v>
      </c>
      <c r="M28" s="29"/>
      <c r="N28" s="799"/>
      <c r="O28" s="30">
        <f t="shared" si="11"/>
        <v>0</v>
      </c>
      <c r="P28" s="802"/>
      <c r="Q28" s="31">
        <f t="shared" si="10"/>
        <v>0</v>
      </c>
      <c r="R28" s="31"/>
      <c r="S28" s="28">
        <f t="shared" si="3"/>
        <v>0</v>
      </c>
      <c r="T28" s="28">
        <f t="shared" si="4"/>
        <v>0</v>
      </c>
      <c r="U28" s="28">
        <f t="shared" si="5"/>
        <v>0</v>
      </c>
      <c r="V28" s="28">
        <f t="shared" si="6"/>
        <v>0</v>
      </c>
      <c r="W28" s="31">
        <f t="shared" si="9"/>
        <v>43707</v>
      </c>
      <c r="X28" s="32">
        <f t="shared" si="12"/>
        <v>1526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8"/>
        <v>42181</v>
      </c>
      <c r="M29" s="29"/>
      <c r="N29" s="799"/>
      <c r="O29" s="30">
        <f t="shared" si="11"/>
        <v>0</v>
      </c>
      <c r="P29" s="802"/>
      <c r="Q29" s="31">
        <f t="shared" si="10"/>
        <v>0</v>
      </c>
      <c r="R29" s="31"/>
      <c r="S29" s="28">
        <f t="shared" si="3"/>
        <v>0</v>
      </c>
      <c r="T29" s="28">
        <f t="shared" si="4"/>
        <v>0</v>
      </c>
      <c r="U29" s="28">
        <f t="shared" si="5"/>
        <v>0</v>
      </c>
      <c r="V29" s="28">
        <f t="shared" si="6"/>
        <v>0</v>
      </c>
      <c r="W29" s="31">
        <f t="shared" si="9"/>
        <v>43707</v>
      </c>
      <c r="X29" s="32">
        <f t="shared" si="12"/>
        <v>1526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8"/>
        <v>42181</v>
      </c>
      <c r="M30" s="29"/>
      <c r="N30" s="799"/>
      <c r="O30" s="30">
        <f t="shared" ref="O30:O39" si="13">+K30/$N$27</f>
        <v>0</v>
      </c>
      <c r="P30" s="802"/>
      <c r="Q30" s="31">
        <f t="shared" ref="Q30:Q39" si="14">IF($P$30=0,0,(-($P$30*O30)+K30)-K30)</f>
        <v>0</v>
      </c>
      <c r="R30" s="31"/>
      <c r="S30" s="28">
        <f t="shared" si="3"/>
        <v>0</v>
      </c>
      <c r="T30" s="28">
        <f t="shared" si="4"/>
        <v>0</v>
      </c>
      <c r="U30" s="28">
        <f t="shared" si="5"/>
        <v>0</v>
      </c>
      <c r="V30" s="28">
        <f t="shared" si="6"/>
        <v>0</v>
      </c>
      <c r="W30" s="31">
        <f t="shared" si="9"/>
        <v>43707</v>
      </c>
      <c r="X30" s="32">
        <f t="shared" si="12"/>
        <v>1526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8"/>
        <v>42181</v>
      </c>
      <c r="M31" s="29"/>
      <c r="N31" s="799"/>
      <c r="O31" s="30">
        <f t="shared" si="13"/>
        <v>0</v>
      </c>
      <c r="P31" s="802"/>
      <c r="Q31" s="31">
        <f t="shared" si="14"/>
        <v>0</v>
      </c>
      <c r="R31" s="31"/>
      <c r="S31" s="28">
        <f t="shared" si="3"/>
        <v>0</v>
      </c>
      <c r="T31" s="28">
        <f t="shared" si="4"/>
        <v>0</v>
      </c>
      <c r="U31" s="28">
        <f t="shared" si="5"/>
        <v>0</v>
      </c>
      <c r="V31" s="28">
        <f t="shared" si="6"/>
        <v>0</v>
      </c>
      <c r="W31" s="31">
        <f t="shared" si="9"/>
        <v>43707</v>
      </c>
      <c r="X31" s="32">
        <f t="shared" si="12"/>
        <v>1526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8"/>
        <v>42181</v>
      </c>
      <c r="M32" s="29"/>
      <c r="N32" s="799"/>
      <c r="O32" s="30">
        <f t="shared" si="13"/>
        <v>0</v>
      </c>
      <c r="P32" s="802"/>
      <c r="Q32" s="31">
        <f t="shared" si="14"/>
        <v>0</v>
      </c>
      <c r="R32" s="31"/>
      <c r="S32" s="28">
        <f t="shared" si="3"/>
        <v>0</v>
      </c>
      <c r="T32" s="28">
        <f t="shared" si="4"/>
        <v>0</v>
      </c>
      <c r="U32" s="28">
        <f t="shared" si="5"/>
        <v>0</v>
      </c>
      <c r="V32" s="28">
        <f t="shared" si="6"/>
        <v>0</v>
      </c>
      <c r="W32" s="31">
        <f t="shared" si="9"/>
        <v>43707</v>
      </c>
      <c r="X32" s="32">
        <f t="shared" si="12"/>
        <v>1526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8"/>
        <v>42181</v>
      </c>
      <c r="M33" s="29"/>
      <c r="N33" s="799"/>
      <c r="O33" s="30">
        <f t="shared" si="13"/>
        <v>0</v>
      </c>
      <c r="P33" s="802"/>
      <c r="Q33" s="31">
        <f t="shared" si="14"/>
        <v>0</v>
      </c>
      <c r="R33" s="31"/>
      <c r="S33" s="28">
        <f t="shared" si="3"/>
        <v>0</v>
      </c>
      <c r="T33" s="28">
        <f t="shared" si="4"/>
        <v>0</v>
      </c>
      <c r="U33" s="28">
        <f t="shared" si="5"/>
        <v>0</v>
      </c>
      <c r="V33" s="28">
        <f t="shared" si="6"/>
        <v>0</v>
      </c>
      <c r="W33" s="31">
        <f t="shared" si="9"/>
        <v>43707</v>
      </c>
      <c r="X33" s="32">
        <f t="shared" si="12"/>
        <v>1526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8"/>
        <v>42181</v>
      </c>
      <c r="M34" s="29"/>
      <c r="N34" s="799"/>
      <c r="O34" s="30">
        <f t="shared" si="13"/>
        <v>0</v>
      </c>
      <c r="P34" s="802"/>
      <c r="Q34" s="31">
        <f t="shared" si="14"/>
        <v>0</v>
      </c>
      <c r="R34" s="31"/>
      <c r="S34" s="28">
        <f t="shared" si="3"/>
        <v>0</v>
      </c>
      <c r="T34" s="28">
        <f t="shared" si="4"/>
        <v>0</v>
      </c>
      <c r="U34" s="28">
        <f t="shared" si="5"/>
        <v>0</v>
      </c>
      <c r="V34" s="28">
        <f t="shared" si="6"/>
        <v>0</v>
      </c>
      <c r="W34" s="31">
        <f t="shared" si="9"/>
        <v>43707</v>
      </c>
      <c r="X34" s="32">
        <f t="shared" si="12"/>
        <v>1526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8"/>
        <v>42181</v>
      </c>
      <c r="M35" s="29"/>
      <c r="N35" s="799"/>
      <c r="O35" s="30">
        <f t="shared" si="13"/>
        <v>0</v>
      </c>
      <c r="P35" s="802"/>
      <c r="Q35" s="31">
        <f t="shared" si="14"/>
        <v>0</v>
      </c>
      <c r="R35" s="31"/>
      <c r="S35" s="28">
        <f t="shared" si="3"/>
        <v>0</v>
      </c>
      <c r="T35" s="28">
        <f t="shared" si="4"/>
        <v>0</v>
      </c>
      <c r="U35" s="28">
        <f t="shared" si="5"/>
        <v>0</v>
      </c>
      <c r="V35" s="28">
        <f t="shared" si="6"/>
        <v>0</v>
      </c>
      <c r="W35" s="31">
        <f t="shared" si="9"/>
        <v>43707</v>
      </c>
      <c r="X35" s="32">
        <f t="shared" si="12"/>
        <v>1526</v>
      </c>
      <c r="Y35" s="117" t="s">
        <v>56</v>
      </c>
      <c r="Z35" s="113">
        <f>Z34*43%</f>
        <v>34400</v>
      </c>
      <c r="AA35" s="113">
        <f>AD4-Z35</f>
        <v>-1526</v>
      </c>
      <c r="AB35" s="113">
        <f>Z35+AA35</f>
        <v>32874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8"/>
        <v>42181</v>
      </c>
      <c r="M36" s="29"/>
      <c r="N36" s="799"/>
      <c r="O36" s="30">
        <f t="shared" si="13"/>
        <v>0</v>
      </c>
      <c r="P36" s="802"/>
      <c r="Q36" s="31">
        <f t="shared" si="14"/>
        <v>0</v>
      </c>
      <c r="R36" s="31"/>
      <c r="S36" s="28">
        <f t="shared" si="3"/>
        <v>0</v>
      </c>
      <c r="T36" s="28">
        <f t="shared" si="4"/>
        <v>0</v>
      </c>
      <c r="U36" s="28">
        <f t="shared" si="5"/>
        <v>0</v>
      </c>
      <c r="V36" s="28">
        <f t="shared" si="6"/>
        <v>0</v>
      </c>
      <c r="W36" s="31">
        <f t="shared" si="9"/>
        <v>43707</v>
      </c>
      <c r="X36" s="32">
        <f t="shared" si="12"/>
        <v>1526</v>
      </c>
      <c r="Y36" s="117" t="s">
        <v>60</v>
      </c>
      <c r="Z36" s="113">
        <f>Z34*57%</f>
        <v>45599.999999999993</v>
      </c>
      <c r="AA36" s="113">
        <f>AD3-Z36</f>
        <v>1526.0000000000073</v>
      </c>
      <c r="AB36" s="113">
        <f>Z36+AA36</f>
        <v>47126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8"/>
        <v>42181</v>
      </c>
      <c r="M37" s="29"/>
      <c r="N37" s="799"/>
      <c r="O37" s="30">
        <f t="shared" si="13"/>
        <v>0</v>
      </c>
      <c r="P37" s="802"/>
      <c r="Q37" s="31">
        <f t="shared" si="14"/>
        <v>0</v>
      </c>
      <c r="R37" s="31"/>
      <c r="S37" s="28">
        <f t="shared" si="3"/>
        <v>0</v>
      </c>
      <c r="T37" s="28">
        <f t="shared" si="4"/>
        <v>0</v>
      </c>
      <c r="U37" s="28">
        <f t="shared" si="5"/>
        <v>0</v>
      </c>
      <c r="V37" s="28">
        <f t="shared" si="6"/>
        <v>0</v>
      </c>
      <c r="W37" s="31">
        <f t="shared" si="9"/>
        <v>43707</v>
      </c>
      <c r="X37" s="32">
        <f t="shared" si="12"/>
        <v>1526</v>
      </c>
      <c r="Y37" s="117" t="s">
        <v>94</v>
      </c>
      <c r="Z37" s="113">
        <f>+Z35+Z36</f>
        <v>80000</v>
      </c>
      <c r="AA37" s="113">
        <f>SUM(AA35:AA36)</f>
        <v>7.2759576141834259E-12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518"/>
      <c r="J38" s="26"/>
      <c r="K38" s="27">
        <f t="shared" si="0"/>
        <v>11207</v>
      </c>
      <c r="L38" s="28">
        <f t="shared" si="8"/>
        <v>30974</v>
      </c>
      <c r="M38" s="29"/>
      <c r="N38" s="799"/>
      <c r="O38" s="30">
        <f t="shared" si="13"/>
        <v>0.26870789076174262</v>
      </c>
      <c r="P38" s="802"/>
      <c r="Q38" s="31">
        <f t="shared" si="14"/>
        <v>0</v>
      </c>
      <c r="R38" s="31"/>
      <c r="S38" s="28">
        <f t="shared" si="3"/>
        <v>11207</v>
      </c>
      <c r="T38" s="28">
        <f t="shared" si="4"/>
        <v>0</v>
      </c>
      <c r="U38" s="28">
        <f t="shared" si="5"/>
        <v>0</v>
      </c>
      <c r="V38" s="28">
        <f t="shared" si="6"/>
        <v>11207</v>
      </c>
      <c r="W38" s="31">
        <f t="shared" si="9"/>
        <v>32500</v>
      </c>
      <c r="X38" s="32">
        <f t="shared" si="12"/>
        <v>1526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 t="shared" si="8"/>
        <v>30974</v>
      </c>
      <c r="M39" s="29"/>
      <c r="N39" s="799"/>
      <c r="O39" s="30">
        <f t="shared" si="13"/>
        <v>0</v>
      </c>
      <c r="P39" s="802"/>
      <c r="Q39" s="31">
        <f t="shared" si="14"/>
        <v>0</v>
      </c>
      <c r="R39" s="31"/>
      <c r="S39" s="28">
        <f t="shared" si="3"/>
        <v>0</v>
      </c>
      <c r="T39" s="28">
        <f t="shared" si="4"/>
        <v>0</v>
      </c>
      <c r="U39" s="28">
        <f t="shared" si="5"/>
        <v>0</v>
      </c>
      <c r="V39" s="28">
        <f t="shared" si="6"/>
        <v>0</v>
      </c>
      <c r="W39" s="31">
        <f t="shared" si="9"/>
        <v>32500</v>
      </c>
      <c r="X39" s="32">
        <f t="shared" si="12"/>
        <v>1526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8"/>
        <v>30974</v>
      </c>
      <c r="M40" s="29"/>
      <c r="N40" s="799"/>
      <c r="O40" s="30"/>
      <c r="P40" s="802"/>
      <c r="Q40" s="31"/>
      <c r="R40" s="31"/>
      <c r="S40" s="28">
        <f t="shared" si="3"/>
        <v>0</v>
      </c>
      <c r="T40" s="28">
        <f t="shared" si="4"/>
        <v>0</v>
      </c>
      <c r="U40" s="28">
        <f t="shared" si="5"/>
        <v>0</v>
      </c>
      <c r="V40" s="28">
        <f t="shared" si="6"/>
        <v>0</v>
      </c>
      <c r="W40" s="31">
        <f t="shared" si="9"/>
        <v>32500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75</v>
      </c>
      <c r="G41" s="101" t="s">
        <v>76</v>
      </c>
      <c r="H41" s="518">
        <v>13728</v>
      </c>
      <c r="I41" s="26"/>
      <c r="J41" s="26"/>
      <c r="K41" s="27">
        <f t="shared" si="0"/>
        <v>13728</v>
      </c>
      <c r="L41" s="28">
        <f t="shared" si="8"/>
        <v>17246</v>
      </c>
      <c r="M41" s="29"/>
      <c r="N41" s="799"/>
      <c r="O41" s="30">
        <f t="shared" ref="O41:O47" si="15">+K41/$N$27</f>
        <v>0.32915337952861629</v>
      </c>
      <c r="P41" s="802"/>
      <c r="Q41" s="31">
        <f t="shared" ref="Q41:Q57" si="16">IF($P$30=0,0,(-($P$30*O41)+K41)-K41)</f>
        <v>0</v>
      </c>
      <c r="R41" s="31"/>
      <c r="S41" s="28">
        <f t="shared" si="3"/>
        <v>13728</v>
      </c>
      <c r="T41" s="28">
        <f t="shared" si="4"/>
        <v>0</v>
      </c>
      <c r="U41" s="28">
        <f t="shared" si="5"/>
        <v>0</v>
      </c>
      <c r="V41" s="28">
        <f t="shared" si="6"/>
        <v>13728</v>
      </c>
      <c r="W41" s="31">
        <f t="shared" si="9"/>
        <v>18772</v>
      </c>
      <c r="X41" s="32">
        <f t="shared" ref="X41:X47" si="17">W41-L41</f>
        <v>1526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6772</v>
      </c>
      <c r="I42" s="26"/>
      <c r="J42" s="26"/>
      <c r="K42" s="27">
        <f t="shared" si="0"/>
        <v>6772</v>
      </c>
      <c r="L42" s="28">
        <f t="shared" si="8"/>
        <v>10474</v>
      </c>
      <c r="M42" s="29"/>
      <c r="N42" s="799"/>
      <c r="O42" s="30">
        <f t="shared" si="15"/>
        <v>0.16237082504135997</v>
      </c>
      <c r="P42" s="802"/>
      <c r="Q42" s="31">
        <f t="shared" si="16"/>
        <v>0</v>
      </c>
      <c r="R42" s="31"/>
      <c r="S42" s="28">
        <f t="shared" si="3"/>
        <v>6772</v>
      </c>
      <c r="T42" s="28">
        <f t="shared" si="4"/>
        <v>0</v>
      </c>
      <c r="U42" s="28">
        <f t="shared" si="5"/>
        <v>0</v>
      </c>
      <c r="V42" s="28">
        <f t="shared" si="6"/>
        <v>6772</v>
      </c>
      <c r="W42" s="31">
        <f t="shared" si="9"/>
        <v>12000</v>
      </c>
      <c r="X42" s="32">
        <f t="shared" si="17"/>
        <v>1526</v>
      </c>
      <c r="Y42" s="74" t="s">
        <v>96</v>
      </c>
      <c r="Z42" s="75">
        <v>35500</v>
      </c>
      <c r="AA42" s="129">
        <f>+H7+H8+H17+H18+H19+H22+H32+H33+H43+H44+H45+H53</f>
        <v>28597</v>
      </c>
      <c r="AB42" s="129">
        <f>+I7+I8+I17+I18+I19+I22+I32+I33+I43+I44+I45+I53</f>
        <v>7403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8"/>
        <v>10474</v>
      </c>
      <c r="M43" s="29"/>
      <c r="N43" s="799"/>
      <c r="O43" s="30">
        <f t="shared" si="15"/>
        <v>0</v>
      </c>
      <c r="P43" s="802"/>
      <c r="Q43" s="31">
        <f t="shared" si="16"/>
        <v>0</v>
      </c>
      <c r="R43" s="31"/>
      <c r="S43" s="28">
        <f t="shared" si="3"/>
        <v>0</v>
      </c>
      <c r="T43" s="28">
        <f t="shared" si="4"/>
        <v>0</v>
      </c>
      <c r="U43" s="28">
        <f t="shared" si="5"/>
        <v>0</v>
      </c>
      <c r="V43" s="28">
        <f t="shared" si="6"/>
        <v>0</v>
      </c>
      <c r="W43" s="31">
        <f t="shared" si="9"/>
        <v>12000</v>
      </c>
      <c r="X43" s="32">
        <f t="shared" si="17"/>
        <v>1526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8"/>
        <v>10474</v>
      </c>
      <c r="M44" s="29"/>
      <c r="N44" s="799"/>
      <c r="O44" s="30">
        <f t="shared" si="15"/>
        <v>0</v>
      </c>
      <c r="P44" s="802"/>
      <c r="Q44" s="31">
        <f t="shared" si="16"/>
        <v>0</v>
      </c>
      <c r="R44" s="31"/>
      <c r="S44" s="28">
        <f t="shared" si="3"/>
        <v>0</v>
      </c>
      <c r="T44" s="28">
        <f t="shared" si="4"/>
        <v>0</v>
      </c>
      <c r="U44" s="28">
        <f t="shared" si="5"/>
        <v>0</v>
      </c>
      <c r="V44" s="28">
        <f t="shared" si="6"/>
        <v>0</v>
      </c>
      <c r="W44" s="31">
        <f t="shared" si="9"/>
        <v>12000</v>
      </c>
      <c r="X44" s="32">
        <f t="shared" si="17"/>
        <v>1526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8"/>
        <v>10474</v>
      </c>
      <c r="M45" s="29"/>
      <c r="N45" s="799"/>
      <c r="O45" s="30">
        <f t="shared" si="15"/>
        <v>0</v>
      </c>
      <c r="P45" s="802"/>
      <c r="Q45" s="31">
        <f t="shared" si="16"/>
        <v>0</v>
      </c>
      <c r="R45" s="31"/>
      <c r="S45" s="28">
        <f t="shared" si="3"/>
        <v>0</v>
      </c>
      <c r="T45" s="28">
        <f t="shared" si="4"/>
        <v>0</v>
      </c>
      <c r="U45" s="28">
        <f t="shared" si="5"/>
        <v>0</v>
      </c>
      <c r="V45" s="28">
        <f t="shared" si="6"/>
        <v>0</v>
      </c>
      <c r="W45" s="31">
        <f t="shared" si="9"/>
        <v>12000</v>
      </c>
      <c r="X45" s="32">
        <f t="shared" si="17"/>
        <v>1526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 t="shared" si="8"/>
        <v>474</v>
      </c>
      <c r="M46" s="29"/>
      <c r="N46" s="799"/>
      <c r="O46" s="30">
        <f t="shared" si="15"/>
        <v>0.2397679046682811</v>
      </c>
      <c r="P46" s="802"/>
      <c r="Q46" s="31">
        <f t="shared" si="16"/>
        <v>0</v>
      </c>
      <c r="R46" s="31">
        <v>0</v>
      </c>
      <c r="S46" s="28">
        <f t="shared" si="3"/>
        <v>10000</v>
      </c>
      <c r="T46" s="28">
        <f t="shared" si="4"/>
        <v>0</v>
      </c>
      <c r="U46" s="28">
        <f t="shared" si="5"/>
        <v>0</v>
      </c>
      <c r="V46" s="28">
        <f t="shared" si="6"/>
        <v>10000</v>
      </c>
      <c r="W46" s="31">
        <f t="shared" si="9"/>
        <v>2000</v>
      </c>
      <c r="X46" s="32">
        <f t="shared" si="17"/>
        <v>1526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8"/>
        <v>474</v>
      </c>
      <c r="M47" s="29"/>
      <c r="N47" s="799"/>
      <c r="O47" s="30">
        <f t="shared" si="15"/>
        <v>0</v>
      </c>
      <c r="P47" s="802"/>
      <c r="Q47" s="31">
        <f t="shared" si="16"/>
        <v>0</v>
      </c>
      <c r="R47" s="31"/>
      <c r="S47" s="28">
        <f t="shared" si="3"/>
        <v>0</v>
      </c>
      <c r="T47" s="28">
        <f t="shared" si="4"/>
        <v>0</v>
      </c>
      <c r="U47" s="28">
        <f t="shared" si="5"/>
        <v>0</v>
      </c>
      <c r="V47" s="28">
        <f t="shared" si="6"/>
        <v>0</v>
      </c>
      <c r="W47" s="31">
        <f t="shared" si="9"/>
        <v>2000</v>
      </c>
      <c r="X47" s="32">
        <f t="shared" si="17"/>
        <v>1526</v>
      </c>
      <c r="Y47" s="57">
        <v>20000</v>
      </c>
      <c r="Z47" s="89">
        <v>4586</v>
      </c>
      <c r="AA47" s="35"/>
      <c r="AB47" s="57">
        <f>57000-AA60</f>
        <v>9874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8"/>
        <v>474</v>
      </c>
      <c r="M48" s="136"/>
      <c r="N48" s="799"/>
      <c r="O48" s="137"/>
      <c r="P48" s="802"/>
      <c r="Q48" s="31">
        <f t="shared" si="16"/>
        <v>0</v>
      </c>
      <c r="R48" s="138"/>
      <c r="S48" s="28">
        <f t="shared" si="3"/>
        <v>0</v>
      </c>
      <c r="T48" s="28">
        <f t="shared" si="4"/>
        <v>0</v>
      </c>
      <c r="U48" s="28">
        <f t="shared" si="5"/>
        <v>0</v>
      </c>
      <c r="V48" s="28">
        <f t="shared" si="6"/>
        <v>0</v>
      </c>
      <c r="W48" s="31">
        <f t="shared" si="9"/>
        <v>2000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8"/>
        <v>474</v>
      </c>
      <c r="M49" s="86"/>
      <c r="N49" s="800"/>
      <c r="O49" s="87">
        <f>+K49/$N$27</f>
        <v>0</v>
      </c>
      <c r="P49" s="803"/>
      <c r="Q49" s="144">
        <f t="shared" si="16"/>
        <v>0</v>
      </c>
      <c r="R49" s="144"/>
      <c r="S49" s="423">
        <f t="shared" si="3"/>
        <v>0</v>
      </c>
      <c r="T49" s="423">
        <f t="shared" si="4"/>
        <v>0</v>
      </c>
      <c r="U49" s="423">
        <f t="shared" si="5"/>
        <v>0</v>
      </c>
      <c r="V49" s="423">
        <f t="shared" si="6"/>
        <v>0</v>
      </c>
      <c r="W49" s="144">
        <f t="shared" si="9"/>
        <v>2000</v>
      </c>
      <c r="X49" s="32">
        <f>W49-L49</f>
        <v>1526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 t="shared" si="8"/>
        <v>474</v>
      </c>
      <c r="M50" s="95"/>
      <c r="N50" s="804">
        <f>SUM(K50:K55)</f>
        <v>2000</v>
      </c>
      <c r="O50" s="96">
        <f>+K50/$N$27</f>
        <v>0</v>
      </c>
      <c r="P50" s="805"/>
      <c r="Q50" s="138">
        <f t="shared" si="16"/>
        <v>0</v>
      </c>
      <c r="R50" s="157">
        <f>K50*$P$50/SUM($K$50:$K$55)-K50</f>
        <v>0</v>
      </c>
      <c r="S50" s="422">
        <f t="shared" si="3"/>
        <v>0</v>
      </c>
      <c r="T50" s="422">
        <f t="shared" si="4"/>
        <v>0</v>
      </c>
      <c r="U50" s="422">
        <f t="shared" si="5"/>
        <v>0</v>
      </c>
      <c r="V50" s="422">
        <f t="shared" si="6"/>
        <v>0</v>
      </c>
      <c r="W50" s="97">
        <f t="shared" si="9"/>
        <v>2000</v>
      </c>
      <c r="X50" s="32">
        <f>W50-L50</f>
        <v>1526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  <c r="AK50" s="51">
        <v>32700</v>
      </c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0"/>
        <v>0</v>
      </c>
      <c r="L51" s="28">
        <f t="shared" si="8"/>
        <v>474</v>
      </c>
      <c r="M51" s="234"/>
      <c r="N51" s="799"/>
      <c r="O51" s="184"/>
      <c r="P51" s="802"/>
      <c r="Q51" s="138">
        <f t="shared" si="16"/>
        <v>0</v>
      </c>
      <c r="R51" s="31"/>
      <c r="S51" s="422">
        <f t="shared" si="3"/>
        <v>0</v>
      </c>
      <c r="T51" s="28">
        <f t="shared" si="4"/>
        <v>0</v>
      </c>
      <c r="U51" s="28">
        <f t="shared" si="5"/>
        <v>0</v>
      </c>
      <c r="V51" s="28">
        <f t="shared" si="6"/>
        <v>0</v>
      </c>
      <c r="W51" s="31">
        <f t="shared" si="9"/>
        <v>2000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  <c r="AJ51" s="20">
        <f>AL51*(24-10)/24</f>
        <v>61196.999999999993</v>
      </c>
      <c r="AK51" s="50">
        <f>AD58-AK50</f>
        <v>61197</v>
      </c>
      <c r="AL51" s="50">
        <f>AK51/(24-10)*24</f>
        <v>104909.14285714284</v>
      </c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8"/>
        <v>474</v>
      </c>
      <c r="M52" s="234"/>
      <c r="N52" s="799"/>
      <c r="O52" s="184"/>
      <c r="P52" s="802"/>
      <c r="Q52" s="31">
        <f t="shared" si="16"/>
        <v>0</v>
      </c>
      <c r="R52" s="97">
        <f>K52*$P$50/SUM($K$50:$K$55)-K52</f>
        <v>0</v>
      </c>
      <c r="S52" s="28">
        <f t="shared" si="3"/>
        <v>0</v>
      </c>
      <c r="T52" s="28">
        <f t="shared" si="4"/>
        <v>0</v>
      </c>
      <c r="U52" s="28">
        <f t="shared" si="5"/>
        <v>0</v>
      </c>
      <c r="V52" s="28">
        <f t="shared" si="6"/>
        <v>0</v>
      </c>
      <c r="W52" s="31">
        <f t="shared" si="9"/>
        <v>2000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518"/>
      <c r="J53" s="26"/>
      <c r="K53" s="27">
        <f t="shared" si="0"/>
        <v>2000</v>
      </c>
      <c r="L53" s="28">
        <f t="shared" si="8"/>
        <v>-1526</v>
      </c>
      <c r="M53" s="29"/>
      <c r="N53" s="799"/>
      <c r="O53" s="30">
        <f>+K53/$N$27</f>
        <v>4.7953580933656217E-2</v>
      </c>
      <c r="P53" s="802"/>
      <c r="Q53" s="97">
        <f t="shared" si="16"/>
        <v>0</v>
      </c>
      <c r="R53" s="31"/>
      <c r="S53" s="28">
        <f t="shared" si="3"/>
        <v>2000</v>
      </c>
      <c r="T53" s="28">
        <f t="shared" si="4"/>
        <v>0</v>
      </c>
      <c r="U53" s="28">
        <f t="shared" si="5"/>
        <v>0</v>
      </c>
      <c r="V53" s="28">
        <f t="shared" si="6"/>
        <v>2000</v>
      </c>
      <c r="W53" s="31">
        <f t="shared" si="9"/>
        <v>0</v>
      </c>
      <c r="X53" s="32">
        <f>W53-L53</f>
        <v>1526</v>
      </c>
      <c r="Y53" s="80">
        <f>+Y52-15000</f>
        <v>-2513.5</v>
      </c>
      <c r="Z53" s="49">
        <f>+Z60-43000</f>
        <v>-10126</v>
      </c>
      <c r="AD53" s="322"/>
      <c r="AE53" s="153"/>
      <c r="AH53" s="18"/>
      <c r="AK53" s="20">
        <f>297521/24*10</f>
        <v>123967.08333333334</v>
      </c>
      <c r="AL53" s="53">
        <f>AD58</f>
        <v>93897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8"/>
        <v>-1526</v>
      </c>
      <c r="M54" s="29"/>
      <c r="N54" s="799"/>
      <c r="O54" s="30">
        <f>+K54/$N$27</f>
        <v>0</v>
      </c>
      <c r="P54" s="802"/>
      <c r="Q54" s="97">
        <f t="shared" si="16"/>
        <v>0</v>
      </c>
      <c r="R54" s="31">
        <f>K54*$P$50/SUM($K$50:$K$55)-K54</f>
        <v>0</v>
      </c>
      <c r="S54" s="28">
        <f t="shared" si="3"/>
        <v>0</v>
      </c>
      <c r="T54" s="28">
        <f t="shared" si="4"/>
        <v>0</v>
      </c>
      <c r="U54" s="28">
        <f t="shared" si="5"/>
        <v>0</v>
      </c>
      <c r="V54" s="28">
        <f t="shared" si="6"/>
        <v>0</v>
      </c>
      <c r="W54" s="31">
        <f t="shared" si="9"/>
        <v>0</v>
      </c>
      <c r="X54" s="32">
        <f>W54-L54</f>
        <v>1526</v>
      </c>
      <c r="Y54" s="158"/>
      <c r="Z54" s="159"/>
      <c r="AA54" s="160"/>
      <c r="AB54" s="158"/>
      <c r="AC54" s="160"/>
      <c r="AD54" s="161"/>
      <c r="AE54" s="153"/>
      <c r="AH54" s="18"/>
      <c r="AK54" s="20">
        <f>(AD59+AJ59)/24*(24-10)</f>
        <v>196509.05555555556</v>
      </c>
      <c r="AL54" s="53">
        <f>AD59+AJ59</f>
        <v>336872.66666666669</v>
      </c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8"/>
        <v>-1526</v>
      </c>
      <c r="M55" s="86"/>
      <c r="N55" s="800"/>
      <c r="O55" s="87">
        <f>+K55/$N$27</f>
        <v>0</v>
      </c>
      <c r="P55" s="803"/>
      <c r="Q55" s="97">
        <f t="shared" si="16"/>
        <v>0</v>
      </c>
      <c r="R55" s="31"/>
      <c r="S55" s="423">
        <f t="shared" si="3"/>
        <v>0</v>
      </c>
      <c r="T55" s="28">
        <f t="shared" si="4"/>
        <v>0</v>
      </c>
      <c r="U55" s="423">
        <f t="shared" si="5"/>
        <v>0</v>
      </c>
      <c r="V55" s="423">
        <f t="shared" si="6"/>
        <v>0</v>
      </c>
      <c r="W55" s="144">
        <f t="shared" si="9"/>
        <v>0</v>
      </c>
      <c r="X55" s="119">
        <f>W55-L55</f>
        <v>1526</v>
      </c>
      <c r="Y55" s="807">
        <f ca="1">Z8</f>
        <v>41938</v>
      </c>
      <c r="Z55" s="808"/>
      <c r="AA55" s="808"/>
      <c r="AB55" s="808"/>
      <c r="AC55" s="808"/>
      <c r="AD55" s="809"/>
      <c r="AE55" s="20" t="s">
        <v>319</v>
      </c>
      <c r="AK55" s="20">
        <f>SUM(AK53:AK54)</f>
        <v>320476.13888888888</v>
      </c>
      <c r="AL55" s="53">
        <f>AD60</f>
        <v>80000</v>
      </c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8"/>
        <v>-1526</v>
      </c>
      <c r="M56" s="804"/>
      <c r="N56" s="804">
        <f>SUM(K56:K80)</f>
        <v>0</v>
      </c>
      <c r="O56" s="96">
        <f>+K56/$N$27</f>
        <v>0</v>
      </c>
      <c r="P56" s="172"/>
      <c r="Q56" s="157">
        <f t="shared" si="16"/>
        <v>0</v>
      </c>
      <c r="R56" s="157">
        <v>0</v>
      </c>
      <c r="S56" s="422">
        <f t="shared" si="3"/>
        <v>0</v>
      </c>
      <c r="T56" s="157">
        <f t="shared" si="4"/>
        <v>0</v>
      </c>
      <c r="U56" s="422">
        <f t="shared" si="5"/>
        <v>0</v>
      </c>
      <c r="V56" s="422">
        <f t="shared" si="6"/>
        <v>0</v>
      </c>
      <c r="W56" s="97">
        <f t="shared" si="9"/>
        <v>0</v>
      </c>
      <c r="X56" s="119">
        <f>W56-L56</f>
        <v>1526</v>
      </c>
      <c r="Y56" s="811" t="s">
        <v>186</v>
      </c>
      <c r="Z56" s="812"/>
      <c r="AA56" s="812"/>
      <c r="AB56" s="812"/>
      <c r="AC56" s="812"/>
      <c r="AD56" s="813"/>
      <c r="AE56" s="13">
        <v>18700</v>
      </c>
      <c r="AF56" s="17">
        <f>AG3</f>
        <v>49</v>
      </c>
      <c r="AG56" s="20">
        <f>AF56/24*(24-9)</f>
        <v>30.624999999999996</v>
      </c>
      <c r="AH56" s="53">
        <f>AG56+AC3</f>
        <v>170064.625</v>
      </c>
      <c r="AK56" s="53">
        <f>AD59-AK55</f>
        <v>2594.861111111124</v>
      </c>
      <c r="AL56" s="53">
        <f>SUM(AL53:AL55)</f>
        <v>510769.66666666669</v>
      </c>
      <c r="AM56" s="50">
        <f>AL55+AL54+AL51</f>
        <v>521781.80952380953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8"/>
        <v>-1526</v>
      </c>
      <c r="M57" s="800"/>
      <c r="N57" s="800"/>
      <c r="O57" s="87" t="e">
        <f t="shared" ref="O57:O80" si="18">+K57/$N$56</f>
        <v>#DIV/0!</v>
      </c>
      <c r="P57" s="328"/>
      <c r="Q57" s="448">
        <f t="shared" si="16"/>
        <v>0</v>
      </c>
      <c r="R57" s="144">
        <v>0</v>
      </c>
      <c r="S57" s="423">
        <f t="shared" si="3"/>
        <v>0</v>
      </c>
      <c r="T57" s="423">
        <f t="shared" si="4"/>
        <v>0</v>
      </c>
      <c r="U57" s="423">
        <f t="shared" si="5"/>
        <v>0</v>
      </c>
      <c r="V57" s="423">
        <f t="shared" si="6"/>
        <v>0</v>
      </c>
      <c r="W57" s="144">
        <f t="shared" si="9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747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8"/>
        <v>-1526</v>
      </c>
      <c r="M58" s="148"/>
      <c r="N58" s="148"/>
      <c r="O58" s="184" t="e">
        <f t="shared" si="18"/>
        <v>#DIV/0!</v>
      </c>
      <c r="P58" s="171"/>
      <c r="Q58" s="97">
        <f t="shared" ref="Q58:Q81" si="19">IF($P$57=0,0,(-($P$57*O58)+K58)-K58)</f>
        <v>0</v>
      </c>
      <c r="R58" s="97"/>
      <c r="S58" s="422">
        <f t="shared" si="3"/>
        <v>0</v>
      </c>
      <c r="T58" s="422">
        <f t="shared" si="4"/>
        <v>0</v>
      </c>
      <c r="U58" s="422">
        <f t="shared" si="5"/>
        <v>0</v>
      </c>
      <c r="V58" s="422">
        <f t="shared" si="6"/>
        <v>0</v>
      </c>
      <c r="W58" s="97">
        <f t="shared" si="9"/>
        <v>0</v>
      </c>
      <c r="X58" s="408"/>
      <c r="Y58" s="180" t="s">
        <v>7</v>
      </c>
      <c r="Z58" s="181">
        <f>+AB4</f>
        <v>27806</v>
      </c>
      <c r="AA58" s="182">
        <f>+AB3</f>
        <v>66091</v>
      </c>
      <c r="AB58" s="182">
        <f>Z12</f>
        <v>0</v>
      </c>
      <c r="AC58" s="181">
        <f>AB10</f>
        <v>0</v>
      </c>
      <c r="AD58" s="661">
        <f>SUM(Z58:AC58)</f>
        <v>93897</v>
      </c>
      <c r="AE58" s="185">
        <v>102166</v>
      </c>
      <c r="AF58" s="17">
        <f>AE58-AD58</f>
        <v>8269</v>
      </c>
      <c r="AG58" s="17">
        <f>AA58-'Octubre 24'!AA58</f>
        <v>-13450</v>
      </c>
      <c r="AH58" s="53">
        <f>AD58-'Octubre 24'!AD58</f>
        <v>-13359</v>
      </c>
      <c r="AI58" s="50"/>
      <c r="AJ58" s="50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8"/>
        <v>-1526</v>
      </c>
      <c r="M59" s="148"/>
      <c r="N59" s="148"/>
      <c r="O59" s="30" t="e">
        <f t="shared" si="18"/>
        <v>#DIV/0!</v>
      </c>
      <c r="P59" s="171"/>
      <c r="Q59" s="31">
        <f t="shared" si="19"/>
        <v>0</v>
      </c>
      <c r="R59" s="31"/>
      <c r="S59" s="28">
        <f t="shared" si="3"/>
        <v>0</v>
      </c>
      <c r="T59" s="28">
        <f t="shared" si="4"/>
        <v>0</v>
      </c>
      <c r="U59" s="28">
        <f t="shared" si="5"/>
        <v>0</v>
      </c>
      <c r="V59" s="28">
        <f t="shared" si="6"/>
        <v>0</v>
      </c>
      <c r="W59" s="31">
        <f t="shared" si="9"/>
        <v>0</v>
      </c>
      <c r="X59" s="408"/>
      <c r="Y59" s="180" t="s">
        <v>17</v>
      </c>
      <c r="Z59" s="182">
        <f>+AC4</f>
        <v>153037</v>
      </c>
      <c r="AA59" s="182">
        <f>AC3</f>
        <v>170034</v>
      </c>
      <c r="AB59" s="182">
        <f>Z11</f>
        <v>0</v>
      </c>
      <c r="AC59" s="181">
        <v>0</v>
      </c>
      <c r="AD59" s="661">
        <f>SUM(Z59:AC59)</f>
        <v>323071</v>
      </c>
      <c r="AE59" s="185">
        <v>246817</v>
      </c>
      <c r="AF59" s="17">
        <f>AE59-AD59</f>
        <v>-76254</v>
      </c>
      <c r="AG59" s="51"/>
      <c r="AH59" s="19"/>
      <c r="AI59" s="758">
        <f>AA59-'Octubre 24 (2)'!AA59</f>
        <v>23660</v>
      </c>
      <c r="AJ59" s="50">
        <f>AI59/24*(24-10)</f>
        <v>13801.666666666668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8"/>
        <v>-1526</v>
      </c>
      <c r="M60" s="148"/>
      <c r="N60" s="148"/>
      <c r="O60" s="30" t="e">
        <f t="shared" si="18"/>
        <v>#DIV/0!</v>
      </c>
      <c r="P60" s="171"/>
      <c r="Q60" s="31">
        <f t="shared" si="19"/>
        <v>0</v>
      </c>
      <c r="R60" s="31"/>
      <c r="S60" s="28">
        <f t="shared" si="3"/>
        <v>0</v>
      </c>
      <c r="T60" s="28">
        <f t="shared" si="4"/>
        <v>0</v>
      </c>
      <c r="U60" s="28">
        <f t="shared" si="5"/>
        <v>0</v>
      </c>
      <c r="V60" s="28">
        <f t="shared" si="6"/>
        <v>0</v>
      </c>
      <c r="W60" s="31">
        <f t="shared" si="9"/>
        <v>0</v>
      </c>
      <c r="X60" s="408"/>
      <c r="Y60" s="180" t="s">
        <v>112</v>
      </c>
      <c r="Z60" s="181">
        <f>+AD4+AH11</f>
        <v>32874</v>
      </c>
      <c r="AA60" s="182">
        <f>+AD3+AH10</f>
        <v>47126</v>
      </c>
      <c r="AB60" s="191">
        <v>0</v>
      </c>
      <c r="AC60" s="181">
        <v>0</v>
      </c>
      <c r="AD60" s="662">
        <f>SUM(Z60:AC60)</f>
        <v>80000</v>
      </c>
      <c r="AE60" s="185">
        <v>100343</v>
      </c>
      <c r="AF60" s="17">
        <f>AE60-AD60</f>
        <v>20343</v>
      </c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8"/>
        <v>-1526</v>
      </c>
      <c r="M61" s="148"/>
      <c r="N61" s="148"/>
      <c r="O61" s="30" t="e">
        <f t="shared" si="18"/>
        <v>#DIV/0!</v>
      </c>
      <c r="P61" s="171"/>
      <c r="Q61" s="31">
        <f t="shared" si="19"/>
        <v>0</v>
      </c>
      <c r="R61" s="31"/>
      <c r="S61" s="28">
        <f t="shared" si="3"/>
        <v>0</v>
      </c>
      <c r="T61" s="28">
        <f t="shared" si="4"/>
        <v>0</v>
      </c>
      <c r="U61" s="28">
        <f t="shared" si="5"/>
        <v>0</v>
      </c>
      <c r="V61" s="28">
        <f t="shared" si="6"/>
        <v>0</v>
      </c>
      <c r="W61" s="31">
        <f t="shared" si="9"/>
        <v>0</v>
      </c>
      <c r="X61" s="408"/>
      <c r="Y61" s="193" t="s">
        <v>113</v>
      </c>
      <c r="Z61" s="194">
        <f>SUM(Z58:Z60)</f>
        <v>213717</v>
      </c>
      <c r="AA61" s="194">
        <f>SUM(AA58:AA60)</f>
        <v>283251</v>
      </c>
      <c r="AB61" s="194">
        <f>SUM(AB58:AB60)</f>
        <v>0</v>
      </c>
      <c r="AC61" s="194">
        <f>AB10</f>
        <v>0</v>
      </c>
      <c r="AD61" s="195">
        <f>SUM(AD58:AD60)</f>
        <v>496968</v>
      </c>
      <c r="AE61" s="185">
        <f>AD61-AA68</f>
        <v>-49.481219061010052</v>
      </c>
      <c r="AF61" s="17">
        <f>SUM(AF58:AF60)</f>
        <v>-47642</v>
      </c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8"/>
        <v>-1526</v>
      </c>
      <c r="M62" s="148"/>
      <c r="N62" s="148"/>
      <c r="O62" s="30" t="e">
        <f t="shared" si="18"/>
        <v>#DIV/0!</v>
      </c>
      <c r="P62" s="171"/>
      <c r="Q62" s="31">
        <f t="shared" si="19"/>
        <v>0</v>
      </c>
      <c r="R62" s="31"/>
      <c r="S62" s="28">
        <f t="shared" si="3"/>
        <v>0</v>
      </c>
      <c r="T62" s="28">
        <f t="shared" si="4"/>
        <v>0</v>
      </c>
      <c r="U62" s="28">
        <f t="shared" si="5"/>
        <v>0</v>
      </c>
      <c r="V62" s="28">
        <f t="shared" si="6"/>
        <v>0</v>
      </c>
      <c r="W62" s="31">
        <f t="shared" si="9"/>
        <v>0</v>
      </c>
      <c r="X62" s="408"/>
      <c r="Y62" s="199" t="s">
        <v>114</v>
      </c>
      <c r="Z62" s="200">
        <f>(Z58/$Z$28+(Z59/$Z$27)+(Z60/$Z$29))</f>
        <v>214314.71071081929</v>
      </c>
      <c r="AA62" s="200">
        <f>(AA58/$Z$28+(AA59/$Z$27)+(AA60/$Z$29))</f>
        <v>284037.47153973836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498352.18225055764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8"/>
        <v>-1526</v>
      </c>
      <c r="M63" s="148"/>
      <c r="N63" s="148"/>
      <c r="O63" s="30" t="e">
        <f t="shared" si="18"/>
        <v>#DIV/0!</v>
      </c>
      <c r="P63" s="171"/>
      <c r="Q63" s="31">
        <f t="shared" si="19"/>
        <v>0</v>
      </c>
      <c r="R63" s="31"/>
      <c r="S63" s="28">
        <f t="shared" si="3"/>
        <v>0</v>
      </c>
      <c r="T63" s="28">
        <f t="shared" si="4"/>
        <v>0</v>
      </c>
      <c r="U63" s="28">
        <f t="shared" si="5"/>
        <v>0</v>
      </c>
      <c r="V63" s="28">
        <f t="shared" si="6"/>
        <v>0</v>
      </c>
      <c r="W63" s="31">
        <f t="shared" si="9"/>
        <v>0</v>
      </c>
      <c r="X63" s="408"/>
      <c r="Y63" s="368" t="s">
        <v>318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8"/>
        <v>-1526</v>
      </c>
      <c r="M64" s="148"/>
      <c r="N64" s="148"/>
      <c r="O64" s="30" t="e">
        <f t="shared" si="18"/>
        <v>#DIV/0!</v>
      </c>
      <c r="P64" s="171"/>
      <c r="Q64" s="31">
        <f t="shared" si="19"/>
        <v>0</v>
      </c>
      <c r="R64" s="31"/>
      <c r="S64" s="28">
        <f t="shared" si="3"/>
        <v>0</v>
      </c>
      <c r="T64" s="28">
        <f t="shared" si="4"/>
        <v>0</v>
      </c>
      <c r="U64" s="28">
        <f t="shared" si="5"/>
        <v>0</v>
      </c>
      <c r="V64" s="28">
        <f t="shared" si="6"/>
        <v>0</v>
      </c>
      <c r="W64" s="31">
        <f t="shared" si="9"/>
        <v>0</v>
      </c>
      <c r="X64" s="408"/>
      <c r="Y64" s="368" t="s">
        <v>317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8"/>
        <v>-1526</v>
      </c>
      <c r="M65" s="148"/>
      <c r="N65" s="148"/>
      <c r="O65" s="30" t="e">
        <f t="shared" si="18"/>
        <v>#DIV/0!</v>
      </c>
      <c r="P65" s="171"/>
      <c r="Q65" s="31">
        <f t="shared" si="19"/>
        <v>0</v>
      </c>
      <c r="R65" s="31"/>
      <c r="S65" s="28">
        <f t="shared" si="3"/>
        <v>0</v>
      </c>
      <c r="T65" s="28">
        <f t="shared" si="4"/>
        <v>0</v>
      </c>
      <c r="U65" s="28">
        <f t="shared" si="5"/>
        <v>0</v>
      </c>
      <c r="V65" s="28">
        <f t="shared" si="6"/>
        <v>0</v>
      </c>
      <c r="W65" s="31">
        <f t="shared" si="9"/>
        <v>0</v>
      </c>
      <c r="X65" s="408"/>
      <c r="Y65" s="371" t="s">
        <v>115</v>
      </c>
      <c r="Z65" s="484"/>
      <c r="AA65" s="203">
        <v>122289.80560000002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ref="K66:K103" si="20">SUM(H66:J66)</f>
        <v>0</v>
      </c>
      <c r="L66" s="28">
        <f t="shared" si="8"/>
        <v>-1526</v>
      </c>
      <c r="M66" s="148"/>
      <c r="N66" s="148"/>
      <c r="O66" s="30" t="e">
        <f t="shared" si="18"/>
        <v>#DIV/0!</v>
      </c>
      <c r="P66" s="171"/>
      <c r="Q66" s="31">
        <f t="shared" si="19"/>
        <v>0</v>
      </c>
      <c r="R66" s="31"/>
      <c r="S66" s="28">
        <f t="shared" ref="S66:S103" si="21">IF(H66&lt;&gt;0,+H66+Q66+R66,0)</f>
        <v>0</v>
      </c>
      <c r="T66" s="28">
        <f t="shared" ref="T66:T103" si="22">IF(I66&lt;&gt;0,+I66+Q66+R66,0)</f>
        <v>0</v>
      </c>
      <c r="U66" s="28">
        <f t="shared" ref="U66:U103" si="23">IF(J66&lt;&gt;0,+J66+Q66+R66,0)</f>
        <v>0</v>
      </c>
      <c r="V66" s="28">
        <f t="shared" ref="V66:V103" si="24">+S66+T66+U66</f>
        <v>0</v>
      </c>
      <c r="W66" s="31">
        <f t="shared" si="9"/>
        <v>0</v>
      </c>
      <c r="X66" s="408"/>
      <c r="Y66" s="814" t="s">
        <v>116</v>
      </c>
      <c r="Z66" s="815"/>
      <c r="AA66" s="203">
        <v>52014.378240000005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20"/>
        <v>0</v>
      </c>
      <c r="L67" s="28">
        <f t="shared" ref="L67:L103" si="25">+L66-K67</f>
        <v>-1526</v>
      </c>
      <c r="M67" s="148"/>
      <c r="N67" s="148"/>
      <c r="O67" s="30" t="e">
        <f t="shared" si="18"/>
        <v>#DIV/0!</v>
      </c>
      <c r="P67" s="171"/>
      <c r="Q67" s="31">
        <f t="shared" si="19"/>
        <v>0</v>
      </c>
      <c r="R67" s="31"/>
      <c r="S67" s="28">
        <f t="shared" si="21"/>
        <v>0</v>
      </c>
      <c r="T67" s="28">
        <f t="shared" si="22"/>
        <v>0</v>
      </c>
      <c r="U67" s="28">
        <f t="shared" si="23"/>
        <v>0</v>
      </c>
      <c r="V67" s="28">
        <f t="shared" si="24"/>
        <v>0</v>
      </c>
      <c r="W67" s="31">
        <f t="shared" ref="W67:W103" si="26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20"/>
        <v>0</v>
      </c>
      <c r="L68" s="28">
        <f t="shared" si="25"/>
        <v>-1526</v>
      </c>
      <c r="M68" s="148"/>
      <c r="N68" s="148"/>
      <c r="O68" s="30" t="e">
        <f t="shared" si="18"/>
        <v>#DIV/0!</v>
      </c>
      <c r="P68" s="171"/>
      <c r="Q68" s="31">
        <f t="shared" si="19"/>
        <v>0</v>
      </c>
      <c r="R68" s="31"/>
      <c r="S68" s="28">
        <f t="shared" si="21"/>
        <v>0</v>
      </c>
      <c r="T68" s="28">
        <f t="shared" si="22"/>
        <v>0</v>
      </c>
      <c r="U68" s="28">
        <f t="shared" si="23"/>
        <v>0</v>
      </c>
      <c r="V68" s="28">
        <f t="shared" si="24"/>
        <v>0</v>
      </c>
      <c r="W68" s="31">
        <f t="shared" si="26"/>
        <v>0</v>
      </c>
      <c r="X68" s="211"/>
      <c r="Y68" s="814" t="s">
        <v>188</v>
      </c>
      <c r="Z68" s="815"/>
      <c r="AA68" s="207">
        <f>Z9*Z30+AC61</f>
        <v>497017.48121906101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20"/>
        <v>0</v>
      </c>
      <c r="L69" s="28">
        <f t="shared" si="25"/>
        <v>-1526</v>
      </c>
      <c r="M69" s="148"/>
      <c r="N69" s="148"/>
      <c r="O69" s="30" t="e">
        <f t="shared" si="18"/>
        <v>#DIV/0!</v>
      </c>
      <c r="P69" s="171"/>
      <c r="Q69" s="31">
        <f t="shared" si="19"/>
        <v>0</v>
      </c>
      <c r="R69" s="31"/>
      <c r="S69" s="28">
        <f t="shared" si="21"/>
        <v>0</v>
      </c>
      <c r="T69" s="28">
        <f t="shared" si="22"/>
        <v>0</v>
      </c>
      <c r="U69" s="28">
        <f t="shared" si="23"/>
        <v>0</v>
      </c>
      <c r="V69" s="28">
        <f t="shared" si="24"/>
        <v>0</v>
      </c>
      <c r="W69" s="31">
        <f t="shared" si="26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20"/>
        <v>0</v>
      </c>
      <c r="L70" s="28">
        <f t="shared" si="25"/>
        <v>-1526</v>
      </c>
      <c r="M70" s="148"/>
      <c r="N70" s="148"/>
      <c r="O70" s="30" t="e">
        <f t="shared" si="18"/>
        <v>#DIV/0!</v>
      </c>
      <c r="P70" s="171"/>
      <c r="Q70" s="31">
        <f t="shared" si="19"/>
        <v>0</v>
      </c>
      <c r="R70" s="31"/>
      <c r="S70" s="28">
        <f t="shared" si="21"/>
        <v>0</v>
      </c>
      <c r="T70" s="28">
        <f t="shared" si="22"/>
        <v>0</v>
      </c>
      <c r="U70" s="28">
        <f t="shared" si="23"/>
        <v>0</v>
      </c>
      <c r="V70" s="28">
        <f t="shared" si="24"/>
        <v>0</v>
      </c>
      <c r="W70" s="31">
        <f t="shared" si="26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20"/>
        <v>0</v>
      </c>
      <c r="L71" s="28">
        <f t="shared" si="25"/>
        <v>-1526</v>
      </c>
      <c r="M71" s="148"/>
      <c r="N71" s="148"/>
      <c r="O71" s="30" t="e">
        <f t="shared" si="18"/>
        <v>#DIV/0!</v>
      </c>
      <c r="P71" s="171"/>
      <c r="Q71" s="31">
        <f t="shared" si="19"/>
        <v>0</v>
      </c>
      <c r="R71" s="31"/>
      <c r="S71" s="28">
        <f t="shared" si="21"/>
        <v>0</v>
      </c>
      <c r="T71" s="28">
        <f t="shared" si="22"/>
        <v>0</v>
      </c>
      <c r="U71" s="28">
        <f t="shared" si="23"/>
        <v>0</v>
      </c>
      <c r="V71" s="28">
        <f t="shared" si="24"/>
        <v>0</v>
      </c>
      <c r="W71" s="31">
        <f t="shared" si="26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20"/>
        <v>0</v>
      </c>
      <c r="L72" s="28">
        <f t="shared" si="25"/>
        <v>-1526</v>
      </c>
      <c r="M72" s="148"/>
      <c r="N72" s="148"/>
      <c r="O72" s="30" t="e">
        <f t="shared" si="18"/>
        <v>#DIV/0!</v>
      </c>
      <c r="P72" s="171"/>
      <c r="Q72" s="31">
        <f t="shared" si="19"/>
        <v>0</v>
      </c>
      <c r="R72" s="31"/>
      <c r="S72" s="28">
        <f t="shared" si="21"/>
        <v>0</v>
      </c>
      <c r="T72" s="28">
        <f t="shared" si="22"/>
        <v>0</v>
      </c>
      <c r="U72" s="28">
        <f t="shared" si="23"/>
        <v>0</v>
      </c>
      <c r="V72" s="28">
        <f t="shared" si="24"/>
        <v>0</v>
      </c>
      <c r="W72" s="31">
        <f t="shared" si="26"/>
        <v>0</v>
      </c>
      <c r="X72" s="211"/>
      <c r="Y72" s="214" t="s">
        <v>47</v>
      </c>
      <c r="Z72" s="215">
        <f ca="1">Z8</f>
        <v>41938</v>
      </c>
      <c r="AA72" s="818" t="s">
        <v>118</v>
      </c>
      <c r="AB72" s="818"/>
      <c r="AC72" s="818"/>
      <c r="AD72" s="216">
        <v>9.25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20"/>
        <v>0</v>
      </c>
      <c r="L73" s="28">
        <f t="shared" si="25"/>
        <v>-1526</v>
      </c>
      <c r="M73" s="148"/>
      <c r="N73" s="148"/>
      <c r="O73" s="30" t="e">
        <f t="shared" si="18"/>
        <v>#DIV/0!</v>
      </c>
      <c r="P73" s="171"/>
      <c r="Q73" s="31">
        <f t="shared" si="19"/>
        <v>0</v>
      </c>
      <c r="R73" s="31"/>
      <c r="S73" s="28">
        <f t="shared" si="21"/>
        <v>0</v>
      </c>
      <c r="T73" s="28">
        <f t="shared" si="22"/>
        <v>0</v>
      </c>
      <c r="U73" s="28">
        <f t="shared" si="23"/>
        <v>0</v>
      </c>
      <c r="V73" s="28">
        <f t="shared" si="24"/>
        <v>0</v>
      </c>
      <c r="W73" s="31">
        <f t="shared" si="26"/>
        <v>0</v>
      </c>
      <c r="X73" s="211"/>
      <c r="Y73" s="214" t="s">
        <v>119</v>
      </c>
      <c r="Z73" s="480">
        <f>AD72</f>
        <v>9.25</v>
      </c>
      <c r="AA73" s="760" t="s">
        <v>120</v>
      </c>
      <c r="AB73" s="760"/>
      <c r="AC73" s="760"/>
      <c r="AD73" s="219">
        <f>24-AD72</f>
        <v>14.75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si="20"/>
        <v>0</v>
      </c>
      <c r="L74" s="28">
        <f t="shared" si="25"/>
        <v>-1526</v>
      </c>
      <c r="M74" s="148"/>
      <c r="N74" s="148"/>
      <c r="O74" s="30" t="e">
        <f t="shared" si="18"/>
        <v>#DIV/0!</v>
      </c>
      <c r="P74" s="171"/>
      <c r="Q74" s="31">
        <f t="shared" si="19"/>
        <v>0</v>
      </c>
      <c r="R74" s="31"/>
      <c r="S74" s="28">
        <f t="shared" si="21"/>
        <v>0</v>
      </c>
      <c r="T74" s="28">
        <f t="shared" si="22"/>
        <v>0</v>
      </c>
      <c r="U74" s="28">
        <f t="shared" si="23"/>
        <v>0</v>
      </c>
      <c r="V74" s="28">
        <f t="shared" si="24"/>
        <v>0</v>
      </c>
      <c r="W74" s="31">
        <f t="shared" si="26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59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0"/>
        <v>0</v>
      </c>
      <c r="L75" s="28">
        <f t="shared" si="25"/>
        <v>-1526</v>
      </c>
      <c r="M75" s="148"/>
      <c r="N75" s="148"/>
      <c r="O75" s="30" t="e">
        <f t="shared" si="18"/>
        <v>#DIV/0!</v>
      </c>
      <c r="P75" s="171"/>
      <c r="Q75" s="31">
        <f t="shared" si="19"/>
        <v>0</v>
      </c>
      <c r="R75" s="31"/>
      <c r="S75" s="28">
        <f t="shared" si="21"/>
        <v>0</v>
      </c>
      <c r="T75" s="28">
        <f t="shared" si="22"/>
        <v>0</v>
      </c>
      <c r="U75" s="28">
        <f t="shared" si="23"/>
        <v>0</v>
      </c>
      <c r="V75" s="28">
        <f t="shared" si="24"/>
        <v>0</v>
      </c>
      <c r="W75" s="31">
        <f t="shared" si="26"/>
        <v>0</v>
      </c>
      <c r="X75" s="211"/>
      <c r="Y75" s="759" t="s">
        <v>121</v>
      </c>
      <c r="Z75" s="759" t="s">
        <v>122</v>
      </c>
      <c r="AA75" s="759" t="s">
        <v>123</v>
      </c>
      <c r="AB75" s="820" t="s">
        <v>124</v>
      </c>
      <c r="AC75" s="821"/>
      <c r="AD75" s="822"/>
      <c r="AE75" s="759" t="s">
        <v>125</v>
      </c>
      <c r="AF75" s="759" t="s">
        <v>126</v>
      </c>
      <c r="AG75" s="149"/>
      <c r="AH75" s="759" t="s">
        <v>121</v>
      </c>
      <c r="AI75" s="759"/>
      <c r="AJ75" s="214" t="s">
        <v>7</v>
      </c>
      <c r="AK75" s="236">
        <f>((+AD78-AA78)/$AD$73)*24</f>
        <v>103089.3559322034</v>
      </c>
      <c r="AL75" s="236">
        <f>AK75</f>
        <v>103089.3559322034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0"/>
        <v>0</v>
      </c>
      <c r="L76" s="28">
        <f t="shared" si="25"/>
        <v>-1526</v>
      </c>
      <c r="M76" s="148"/>
      <c r="N76" s="148"/>
      <c r="O76" s="30" t="e">
        <f t="shared" si="18"/>
        <v>#DIV/0!</v>
      </c>
      <c r="P76" s="171"/>
      <c r="Q76" s="31">
        <f t="shared" si="19"/>
        <v>0</v>
      </c>
      <c r="R76" s="31"/>
      <c r="S76" s="28">
        <f t="shared" si="21"/>
        <v>0</v>
      </c>
      <c r="T76" s="28">
        <f t="shared" si="22"/>
        <v>0</v>
      </c>
      <c r="U76" s="28">
        <f t="shared" si="23"/>
        <v>0</v>
      </c>
      <c r="V76" s="28">
        <f t="shared" si="24"/>
        <v>0</v>
      </c>
      <c r="W76" s="31">
        <f t="shared" si="26"/>
        <v>0</v>
      </c>
      <c r="X76" s="211"/>
      <c r="Y76" s="759"/>
      <c r="Z76" s="759"/>
      <c r="AA76" s="759"/>
      <c r="AB76" s="759"/>
      <c r="AC76" s="759"/>
      <c r="AD76" s="759"/>
      <c r="AE76" s="759"/>
      <c r="AF76" s="759"/>
      <c r="AG76" s="149"/>
      <c r="AH76" s="759"/>
      <c r="AI76" s="759"/>
      <c r="AJ76" s="214" t="s">
        <v>6</v>
      </c>
      <c r="AK76" s="236">
        <f>((+AD79-AA79)/$AD$73)*24</f>
        <v>339695.18644067796</v>
      </c>
      <c r="AL76" s="236">
        <f>+AK76</f>
        <v>339695.18644067796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0"/>
        <v>0</v>
      </c>
      <c r="L77" s="28">
        <f t="shared" si="25"/>
        <v>-1526</v>
      </c>
      <c r="M77" s="148"/>
      <c r="N77" s="148"/>
      <c r="O77" s="30" t="e">
        <f t="shared" si="18"/>
        <v>#DIV/0!</v>
      </c>
      <c r="P77" s="171"/>
      <c r="Q77" s="31">
        <f t="shared" si="19"/>
        <v>0</v>
      </c>
      <c r="R77" s="31"/>
      <c r="S77" s="28">
        <f t="shared" si="21"/>
        <v>0</v>
      </c>
      <c r="T77" s="28">
        <f t="shared" si="22"/>
        <v>0</v>
      </c>
      <c r="U77" s="28">
        <f t="shared" si="23"/>
        <v>0</v>
      </c>
      <c r="V77" s="28">
        <f t="shared" si="24"/>
        <v>0</v>
      </c>
      <c r="W77" s="31">
        <f t="shared" si="26"/>
        <v>0</v>
      </c>
      <c r="X77" s="211"/>
      <c r="Y77" s="759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59"/>
      <c r="AI77" s="78"/>
      <c r="AJ77" s="214" t="s">
        <v>8</v>
      </c>
      <c r="AK77" s="236">
        <f>((+AD80-AA80)/$AD$73)*24</f>
        <v>80054.237288135599</v>
      </c>
      <c r="AL77" s="236">
        <f>AK77</f>
        <v>80054.237288135599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0"/>
        <v>0</v>
      </c>
      <c r="L78" s="28">
        <f t="shared" si="25"/>
        <v>-1526</v>
      </c>
      <c r="M78" s="148"/>
      <c r="N78" s="148"/>
      <c r="O78" s="30" t="e">
        <f t="shared" si="18"/>
        <v>#DIV/0!</v>
      </c>
      <c r="P78" s="171"/>
      <c r="Q78" s="31">
        <f t="shared" si="19"/>
        <v>0</v>
      </c>
      <c r="R78" s="31"/>
      <c r="S78" s="28">
        <f t="shared" si="21"/>
        <v>0</v>
      </c>
      <c r="T78" s="28">
        <f t="shared" si="22"/>
        <v>0</v>
      </c>
      <c r="U78" s="28">
        <f t="shared" si="23"/>
        <v>0</v>
      </c>
      <c r="V78" s="28">
        <f t="shared" si="24"/>
        <v>0</v>
      </c>
      <c r="W78" s="31">
        <f t="shared" si="26"/>
        <v>0</v>
      </c>
      <c r="X78" s="211"/>
      <c r="Y78" s="214" t="s">
        <v>7</v>
      </c>
      <c r="Z78" s="224">
        <v>89836</v>
      </c>
      <c r="AA78" s="225">
        <v>30540</v>
      </c>
      <c r="AB78" s="226">
        <f t="shared" ref="AB78:AC80" si="27">+Z58</f>
        <v>27806</v>
      </c>
      <c r="AC78" s="226">
        <f t="shared" si="27"/>
        <v>66091</v>
      </c>
      <c r="AD78" s="226">
        <f>+AB78+AC78+AB58+AC58</f>
        <v>93897</v>
      </c>
      <c r="AE78" s="519">
        <f>+((AD58/24)*$AD$73)+AA78</f>
        <v>88247.53125</v>
      </c>
      <c r="AF78" s="227">
        <f>+AE78-AD78</f>
        <v>-5649.46875</v>
      </c>
      <c r="AG78" s="212"/>
      <c r="AH78" s="214" t="s">
        <v>7</v>
      </c>
      <c r="AI78" s="446">
        <f>+AA78</f>
        <v>30540</v>
      </c>
      <c r="AK78" s="231">
        <f>+SUM(AK75:AK77)</f>
        <v>522838.779661017</v>
      </c>
      <c r="AL78" s="231">
        <f>+SUM(AL75:AL77)</f>
        <v>522838.779661017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0"/>
        <v>0</v>
      </c>
      <c r="L79" s="28">
        <f t="shared" si="25"/>
        <v>-1526</v>
      </c>
      <c r="M79" s="148"/>
      <c r="N79" s="148"/>
      <c r="O79" s="30" t="e">
        <f t="shared" si="18"/>
        <v>#DIV/0!</v>
      </c>
      <c r="P79" s="171"/>
      <c r="Q79" s="31">
        <f t="shared" si="19"/>
        <v>0</v>
      </c>
      <c r="R79" s="31"/>
      <c r="S79" s="28">
        <f t="shared" si="21"/>
        <v>0</v>
      </c>
      <c r="T79" s="28">
        <f t="shared" si="22"/>
        <v>0</v>
      </c>
      <c r="U79" s="28">
        <f t="shared" si="23"/>
        <v>0</v>
      </c>
      <c r="V79" s="28">
        <f t="shared" si="24"/>
        <v>0</v>
      </c>
      <c r="W79" s="31">
        <f t="shared" si="26"/>
        <v>0</v>
      </c>
      <c r="X79" s="211"/>
      <c r="Y79" s="214" t="s">
        <v>6</v>
      </c>
      <c r="Z79" s="224">
        <v>297521</v>
      </c>
      <c r="AA79" s="225">
        <v>114300</v>
      </c>
      <c r="AB79" s="226">
        <f t="shared" si="27"/>
        <v>153037</v>
      </c>
      <c r="AC79" s="226">
        <f t="shared" si="27"/>
        <v>170034</v>
      </c>
      <c r="AD79" s="226">
        <f>+AB79+AC79+AB59</f>
        <v>323071</v>
      </c>
      <c r="AE79" s="519">
        <f>+((AD59/24)*$AD$73)+AA79</f>
        <v>312854.05208333331</v>
      </c>
      <c r="AF79" s="227">
        <f>+AE79-AD79</f>
        <v>-10216.947916666686</v>
      </c>
      <c r="AG79" s="212"/>
      <c r="AH79" s="214" t="s">
        <v>6</v>
      </c>
      <c r="AI79" s="446">
        <f>+AA79</f>
        <v>114300</v>
      </c>
      <c r="AJ79" s="53"/>
      <c r="AK79" s="481">
        <f>Z10</f>
        <v>497017</v>
      </c>
      <c r="AL79" s="481">
        <f>AK79-AK78</f>
        <v>-25821.779661017004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0"/>
        <v>0</v>
      </c>
      <c r="L80" s="28">
        <f t="shared" si="25"/>
        <v>-1526</v>
      </c>
      <c r="M80" s="148"/>
      <c r="N80" s="234"/>
      <c r="O80" s="30" t="e">
        <f t="shared" si="18"/>
        <v>#DIV/0!</v>
      </c>
      <c r="P80" s="179"/>
      <c r="Q80" s="31">
        <f t="shared" si="19"/>
        <v>0</v>
      </c>
      <c r="R80" s="31"/>
      <c r="S80" s="28">
        <f t="shared" si="21"/>
        <v>0</v>
      </c>
      <c r="T80" s="28">
        <f t="shared" si="22"/>
        <v>0</v>
      </c>
      <c r="U80" s="28">
        <f t="shared" si="23"/>
        <v>0</v>
      </c>
      <c r="V80" s="28">
        <f t="shared" si="24"/>
        <v>0</v>
      </c>
      <c r="W80" s="31">
        <f t="shared" si="26"/>
        <v>0</v>
      </c>
      <c r="X80" s="211"/>
      <c r="Y80" s="214" t="s">
        <v>8</v>
      </c>
      <c r="Z80" s="224">
        <v>80000</v>
      </c>
      <c r="AA80" s="225">
        <v>30800</v>
      </c>
      <c r="AB80" s="226">
        <f t="shared" si="27"/>
        <v>32874</v>
      </c>
      <c r="AC80" s="226">
        <f t="shared" si="27"/>
        <v>47126</v>
      </c>
      <c r="AD80" s="226">
        <f>+AB80+AC80</f>
        <v>80000</v>
      </c>
      <c r="AE80" s="519">
        <f>+((AD60/24)*$AD$73)+AA80</f>
        <v>79966.666666666672</v>
      </c>
      <c r="AF80" s="227">
        <f>+AE80-AD80</f>
        <v>-33.333333333328483</v>
      </c>
      <c r="AG80" s="149"/>
      <c r="AH80" s="214" t="s">
        <v>8</v>
      </c>
      <c r="AI80" s="447">
        <f>+AA80</f>
        <v>30800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0"/>
        <v>0</v>
      </c>
      <c r="L81" s="28">
        <f t="shared" si="25"/>
        <v>-1526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9"/>
        <v>0</v>
      </c>
      <c r="R81" s="31"/>
      <c r="S81" s="28">
        <f t="shared" si="21"/>
        <v>0</v>
      </c>
      <c r="T81" s="28">
        <f t="shared" si="22"/>
        <v>0</v>
      </c>
      <c r="U81" s="28">
        <f t="shared" si="23"/>
        <v>0</v>
      </c>
      <c r="V81" s="28">
        <f t="shared" si="24"/>
        <v>0</v>
      </c>
      <c r="W81" s="31">
        <f t="shared" si="26"/>
        <v>0</v>
      </c>
      <c r="X81" s="211"/>
      <c r="Y81" s="228" t="s">
        <v>130</v>
      </c>
      <c r="Z81" s="229">
        <f t="shared" ref="Z81:AE81" si="28">SUM(Z78:Z80)</f>
        <v>467357</v>
      </c>
      <c r="AA81" s="230">
        <f t="shared" si="28"/>
        <v>175640</v>
      </c>
      <c r="AB81" s="229">
        <f t="shared" si="28"/>
        <v>213717</v>
      </c>
      <c r="AC81" s="229">
        <f t="shared" si="28"/>
        <v>283251</v>
      </c>
      <c r="AD81" s="229">
        <f t="shared" si="28"/>
        <v>496968</v>
      </c>
      <c r="AE81" s="229">
        <f t="shared" si="28"/>
        <v>481068.25</v>
      </c>
      <c r="AF81" s="227">
        <f>+SUM(AF78:AF80)</f>
        <v>-15899.750000000015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0"/>
        <v>0</v>
      </c>
      <c r="L82" s="28">
        <f t="shared" si="25"/>
        <v>-1526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21"/>
        <v>0</v>
      </c>
      <c r="T82" s="28">
        <f t="shared" si="22"/>
        <v>0</v>
      </c>
      <c r="U82" s="28">
        <f t="shared" si="23"/>
        <v>0</v>
      </c>
      <c r="V82" s="28">
        <f t="shared" si="24"/>
        <v>0</v>
      </c>
      <c r="W82" s="31">
        <f t="shared" si="26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0"/>
        <v>0</v>
      </c>
      <c r="L83" s="28">
        <f t="shared" si="25"/>
        <v>-1526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21"/>
        <v>0</v>
      </c>
      <c r="T83" s="28">
        <f t="shared" si="22"/>
        <v>0</v>
      </c>
      <c r="U83" s="28">
        <f t="shared" si="23"/>
        <v>0</v>
      </c>
      <c r="V83" s="28">
        <f t="shared" si="24"/>
        <v>0</v>
      </c>
      <c r="W83" s="31">
        <f t="shared" si="26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0"/>
        <v>0</v>
      </c>
      <c r="L84" s="28">
        <f t="shared" si="25"/>
        <v>-1526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21"/>
        <v>0</v>
      </c>
      <c r="T84" s="28">
        <f t="shared" si="22"/>
        <v>0</v>
      </c>
      <c r="U84" s="28">
        <f t="shared" si="23"/>
        <v>0</v>
      </c>
      <c r="V84" s="28">
        <f t="shared" si="24"/>
        <v>0</v>
      </c>
      <c r="W84" s="31">
        <f t="shared" si="26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0"/>
        <v>0</v>
      </c>
      <c r="L85" s="28">
        <f t="shared" si="25"/>
        <v>-1526</v>
      </c>
      <c r="M85" s="810"/>
      <c r="N85" s="810">
        <f>SUM(K85:K93)</f>
        <v>0</v>
      </c>
      <c r="O85" s="30" t="e">
        <f t="shared" ref="O85:O93" si="29">+K85/$N$85</f>
        <v>#DIV/0!</v>
      </c>
      <c r="P85" s="238"/>
      <c r="Q85" s="31">
        <f t="shared" ref="Q85:Q103" si="30">IF($P$85=0,0,(-($P$85*O85)+K85)-K85)</f>
        <v>0</v>
      </c>
      <c r="R85" s="31"/>
      <c r="S85" s="28">
        <f t="shared" si="21"/>
        <v>0</v>
      </c>
      <c r="T85" s="28">
        <f t="shared" si="22"/>
        <v>0</v>
      </c>
      <c r="U85" s="28">
        <f t="shared" si="23"/>
        <v>0</v>
      </c>
      <c r="V85" s="28">
        <f t="shared" si="24"/>
        <v>0</v>
      </c>
      <c r="W85" s="31">
        <f t="shared" si="26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0"/>
        <v>0</v>
      </c>
      <c r="L86" s="28">
        <f t="shared" si="25"/>
        <v>-1526</v>
      </c>
      <c r="M86" s="810"/>
      <c r="N86" s="810"/>
      <c r="O86" s="30" t="e">
        <f t="shared" si="29"/>
        <v>#DIV/0!</v>
      </c>
      <c r="P86" s="171"/>
      <c r="Q86" s="31">
        <f t="shared" si="30"/>
        <v>0</v>
      </c>
      <c r="R86" s="31"/>
      <c r="S86" s="28">
        <f t="shared" si="21"/>
        <v>0</v>
      </c>
      <c r="T86" s="28">
        <f t="shared" si="22"/>
        <v>0</v>
      </c>
      <c r="U86" s="28">
        <f t="shared" si="23"/>
        <v>0</v>
      </c>
      <c r="V86" s="28">
        <f t="shared" si="24"/>
        <v>0</v>
      </c>
      <c r="W86" s="31">
        <f t="shared" si="26"/>
        <v>0</v>
      </c>
      <c r="Y86" s="14" t="s">
        <v>177</v>
      </c>
      <c r="Z86" s="336" t="s">
        <v>178</v>
      </c>
      <c r="AA86" s="337">
        <f>+AA81</f>
        <v>175640</v>
      </c>
      <c r="AB86" s="337">
        <f>AA87-AA86</f>
        <v>96549.729166666686</v>
      </c>
      <c r="AC86" s="42">
        <f>AB86*24/5.5</f>
        <v>421307.90909090918</v>
      </c>
      <c r="AD86" s="338">
        <f>AC86+353111</f>
        <v>774418.90909090918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0"/>
        <v>0</v>
      </c>
      <c r="L87" s="28">
        <f t="shared" si="25"/>
        <v>-1526</v>
      </c>
      <c r="M87" s="810"/>
      <c r="N87" s="810"/>
      <c r="O87" s="30" t="e">
        <f t="shared" si="29"/>
        <v>#DIV/0!</v>
      </c>
      <c r="P87" s="171"/>
      <c r="Q87" s="31">
        <f t="shared" si="30"/>
        <v>0</v>
      </c>
      <c r="R87" s="31"/>
      <c r="S87" s="28">
        <f t="shared" si="21"/>
        <v>0</v>
      </c>
      <c r="T87" s="28">
        <f t="shared" si="22"/>
        <v>0</v>
      </c>
      <c r="U87" s="28">
        <f t="shared" si="23"/>
        <v>0</v>
      </c>
      <c r="V87" s="28">
        <f t="shared" si="24"/>
        <v>0</v>
      </c>
      <c r="W87" s="31">
        <f t="shared" si="26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177471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0"/>
        <v>0</v>
      </c>
      <c r="L88" s="28">
        <f t="shared" si="25"/>
        <v>-1526</v>
      </c>
      <c r="M88" s="810"/>
      <c r="N88" s="810"/>
      <c r="O88" s="30" t="e">
        <f t="shared" si="29"/>
        <v>#DIV/0!</v>
      </c>
      <c r="P88" s="171"/>
      <c r="Q88" s="31">
        <f t="shared" si="30"/>
        <v>0</v>
      </c>
      <c r="R88" s="31"/>
      <c r="S88" s="28">
        <f t="shared" si="21"/>
        <v>0</v>
      </c>
      <c r="T88" s="28">
        <f t="shared" si="22"/>
        <v>0</v>
      </c>
      <c r="U88" s="28">
        <f t="shared" si="23"/>
        <v>0</v>
      </c>
      <c r="V88" s="28">
        <f t="shared" si="24"/>
        <v>0</v>
      </c>
      <c r="W88" s="31">
        <f t="shared" si="26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0"/>
        <v>0</v>
      </c>
      <c r="L89" s="28">
        <f t="shared" si="25"/>
        <v>-1526</v>
      </c>
      <c r="M89" s="810"/>
      <c r="N89" s="810"/>
      <c r="O89" s="30" t="e">
        <f t="shared" si="29"/>
        <v>#DIV/0!</v>
      </c>
      <c r="P89" s="171"/>
      <c r="Q89" s="31">
        <f t="shared" si="30"/>
        <v>0</v>
      </c>
      <c r="R89" s="31"/>
      <c r="S89" s="28">
        <f t="shared" si="21"/>
        <v>0</v>
      </c>
      <c r="T89" s="28">
        <f t="shared" si="22"/>
        <v>0</v>
      </c>
      <c r="U89" s="28">
        <f t="shared" si="23"/>
        <v>0</v>
      </c>
      <c r="V89" s="28">
        <f t="shared" si="24"/>
        <v>0</v>
      </c>
      <c r="W89" s="31">
        <f t="shared" si="26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0"/>
        <v>0</v>
      </c>
      <c r="L90" s="28">
        <f t="shared" si="25"/>
        <v>-1526</v>
      </c>
      <c r="M90" s="810"/>
      <c r="N90" s="810"/>
      <c r="O90" s="30" t="e">
        <f t="shared" si="29"/>
        <v>#DIV/0!</v>
      </c>
      <c r="P90" s="171"/>
      <c r="Q90" s="31">
        <f t="shared" si="30"/>
        <v>0</v>
      </c>
      <c r="R90" s="31"/>
      <c r="S90" s="28">
        <f t="shared" si="21"/>
        <v>0</v>
      </c>
      <c r="T90" s="28">
        <f t="shared" si="22"/>
        <v>0</v>
      </c>
      <c r="U90" s="28">
        <f t="shared" si="23"/>
        <v>0</v>
      </c>
      <c r="V90" s="28">
        <f t="shared" si="24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0"/>
        <v>0</v>
      </c>
      <c r="L91" s="28">
        <f t="shared" si="25"/>
        <v>-1526</v>
      </c>
      <c r="M91" s="810"/>
      <c r="N91" s="810"/>
      <c r="O91" s="30" t="e">
        <f t="shared" si="29"/>
        <v>#DIV/0!</v>
      </c>
      <c r="P91" s="171"/>
      <c r="Q91" s="31">
        <f t="shared" si="30"/>
        <v>0</v>
      </c>
      <c r="R91" s="31"/>
      <c r="S91" s="28">
        <f t="shared" si="21"/>
        <v>0</v>
      </c>
      <c r="T91" s="28">
        <f t="shared" si="22"/>
        <v>0</v>
      </c>
      <c r="U91" s="28">
        <f t="shared" si="23"/>
        <v>0</v>
      </c>
      <c r="V91" s="28">
        <f t="shared" si="24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0"/>
        <v>0</v>
      </c>
      <c r="L92" s="28">
        <f t="shared" si="25"/>
        <v>-1526</v>
      </c>
      <c r="M92" s="810"/>
      <c r="N92" s="810"/>
      <c r="O92" s="30" t="e">
        <f t="shared" si="29"/>
        <v>#DIV/0!</v>
      </c>
      <c r="P92" s="171"/>
      <c r="Q92" s="31">
        <f t="shared" si="30"/>
        <v>0</v>
      </c>
      <c r="R92" s="31"/>
      <c r="S92" s="28">
        <f t="shared" si="21"/>
        <v>0</v>
      </c>
      <c r="T92" s="28">
        <f t="shared" si="22"/>
        <v>0</v>
      </c>
      <c r="U92" s="28">
        <f t="shared" si="23"/>
        <v>0</v>
      </c>
      <c r="V92" s="28">
        <f t="shared" si="24"/>
        <v>0</v>
      </c>
      <c r="W92" s="31">
        <f t="shared" si="26"/>
        <v>0</v>
      </c>
      <c r="Y92" s="882" t="s">
        <v>158</v>
      </c>
      <c r="Z92" s="586" t="s">
        <v>283</v>
      </c>
      <c r="AA92" s="699">
        <f>(SUMIF($D$2:$D$57,"domiciliario",$I$2:$I$103))/1000</f>
        <v>19.475999999999999</v>
      </c>
      <c r="AB92" s="700">
        <f>(SUMIF($D$2:$D$57,"domiciliario",$T$2:$T$103))/1000</f>
        <v>19.475999999999999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0"/>
        <v>0</v>
      </c>
      <c r="L93" s="28">
        <f t="shared" si="25"/>
        <v>-1526</v>
      </c>
      <c r="M93" s="810"/>
      <c r="N93" s="810"/>
      <c r="O93" s="30" t="e">
        <f t="shared" si="29"/>
        <v>#DIV/0!</v>
      </c>
      <c r="P93" s="179"/>
      <c r="Q93" s="31">
        <f t="shared" si="30"/>
        <v>0</v>
      </c>
      <c r="R93" s="31"/>
      <c r="S93" s="28">
        <f t="shared" si="21"/>
        <v>0</v>
      </c>
      <c r="T93" s="28">
        <f t="shared" si="22"/>
        <v>0</v>
      </c>
      <c r="U93" s="28">
        <f t="shared" si="23"/>
        <v>0</v>
      </c>
      <c r="V93" s="28">
        <f t="shared" si="24"/>
        <v>0</v>
      </c>
      <c r="W93" s="31">
        <f t="shared" si="26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0"/>
        <v>0</v>
      </c>
      <c r="L94" s="28">
        <f t="shared" si="25"/>
        <v>-1526</v>
      </c>
      <c r="M94" s="810"/>
      <c r="N94" s="810">
        <f>SUM(K94:K103)</f>
        <v>0</v>
      </c>
      <c r="O94" s="30">
        <f t="shared" ref="O94:O103" si="31">IF($N$94=0,0,+K94/$N$94)</f>
        <v>0</v>
      </c>
      <c r="P94" s="238"/>
      <c r="Q94" s="31">
        <f t="shared" si="30"/>
        <v>0</v>
      </c>
      <c r="R94" s="31"/>
      <c r="S94" s="28">
        <f t="shared" si="21"/>
        <v>0</v>
      </c>
      <c r="T94" s="28">
        <f t="shared" si="22"/>
        <v>0</v>
      </c>
      <c r="U94" s="28">
        <f t="shared" si="23"/>
        <v>0</v>
      </c>
      <c r="V94" s="28">
        <f t="shared" si="24"/>
        <v>0</v>
      </c>
      <c r="W94" s="31">
        <f t="shared" si="26"/>
        <v>0</v>
      </c>
      <c r="Y94" s="883"/>
      <c r="Z94" s="588" t="s">
        <v>80</v>
      </c>
      <c r="AA94" s="701">
        <f>(SUMIF($D$2:$D$57,"gnv",$I$2:$I$103))/1000</f>
        <v>0.33</v>
      </c>
      <c r="AB94" s="702">
        <f>(SUMIF($D$2:$D$57,"gnv",$T$2:$T$103))/1000</f>
        <v>0.33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0"/>
        <v>0</v>
      </c>
      <c r="L95" s="28">
        <f t="shared" si="25"/>
        <v>-1526</v>
      </c>
      <c r="M95" s="810"/>
      <c r="N95" s="810"/>
      <c r="O95" s="30">
        <f t="shared" si="31"/>
        <v>0</v>
      </c>
      <c r="P95" s="171"/>
      <c r="Q95" s="31">
        <f t="shared" si="30"/>
        <v>0</v>
      </c>
      <c r="R95" s="31"/>
      <c r="S95" s="28">
        <f t="shared" si="21"/>
        <v>0</v>
      </c>
      <c r="T95" s="28">
        <f t="shared" si="22"/>
        <v>0</v>
      </c>
      <c r="U95" s="28">
        <f t="shared" si="23"/>
        <v>0</v>
      </c>
      <c r="V95" s="28">
        <f t="shared" si="24"/>
        <v>0</v>
      </c>
      <c r="W95" s="31">
        <f t="shared" si="26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8</v>
      </c>
      <c r="AB95" s="702">
        <f>(SUMIF($D$2:$D$57,"termico",$T$2:$T$103)+SUMIF($D$2:$D$57,"electrico",$T$2:$T$103)+SUMIF($D$2:$D$57,"térmico",$T$2:$T$103))/1000</f>
        <v>8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0"/>
        <v>0</v>
      </c>
      <c r="L96" s="28">
        <f t="shared" si="25"/>
        <v>-1526</v>
      </c>
      <c r="M96" s="810"/>
      <c r="N96" s="810"/>
      <c r="O96" s="30">
        <f t="shared" si="31"/>
        <v>0</v>
      </c>
      <c r="P96" s="171"/>
      <c r="Q96" s="31">
        <f t="shared" si="30"/>
        <v>0</v>
      </c>
      <c r="R96" s="31"/>
      <c r="S96" s="28">
        <f t="shared" si="21"/>
        <v>0</v>
      </c>
      <c r="T96" s="28">
        <f t="shared" si="22"/>
        <v>0</v>
      </c>
      <c r="U96" s="28">
        <f t="shared" si="23"/>
        <v>0</v>
      </c>
      <c r="V96" s="28">
        <f t="shared" si="24"/>
        <v>0</v>
      </c>
      <c r="W96" s="31">
        <f t="shared" si="26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0"/>
        <v>0</v>
      </c>
      <c r="L97" s="28">
        <f t="shared" si="25"/>
        <v>-1526</v>
      </c>
      <c r="M97" s="810"/>
      <c r="N97" s="810"/>
      <c r="O97" s="30">
        <f t="shared" si="31"/>
        <v>0</v>
      </c>
      <c r="P97" s="171"/>
      <c r="Q97" s="31">
        <f t="shared" si="30"/>
        <v>0</v>
      </c>
      <c r="R97" s="31"/>
      <c r="S97" s="28">
        <f t="shared" si="21"/>
        <v>0</v>
      </c>
      <c r="T97" s="28">
        <f t="shared" si="22"/>
        <v>0</v>
      </c>
      <c r="U97" s="28">
        <f t="shared" si="23"/>
        <v>0</v>
      </c>
      <c r="V97" s="28">
        <f t="shared" si="24"/>
        <v>0</v>
      </c>
      <c r="W97" s="31">
        <f t="shared" si="26"/>
        <v>0</v>
      </c>
      <c r="Y97" s="825" t="s">
        <v>154</v>
      </c>
      <c r="Z97" s="489" t="s">
        <v>283</v>
      </c>
      <c r="AA97" s="705">
        <f>(SUMIF($D$2:$D$57,"domiciliario",$H$2:$H$103))/1000</f>
        <v>31.716999999999999</v>
      </c>
      <c r="AB97" s="706">
        <f>(SUMIF($D$2:$D$57,"domiciliario",$S$2:$S$103))/1000</f>
        <v>31.716999999999999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0"/>
        <v>0</v>
      </c>
      <c r="L98" s="28">
        <f t="shared" si="25"/>
        <v>-1526</v>
      </c>
      <c r="M98" s="810"/>
      <c r="N98" s="810"/>
      <c r="O98" s="30">
        <f t="shared" si="31"/>
        <v>0</v>
      </c>
      <c r="P98" s="171"/>
      <c r="Q98" s="31">
        <f t="shared" si="30"/>
        <v>0</v>
      </c>
      <c r="R98" s="31"/>
      <c r="S98" s="28">
        <f t="shared" si="21"/>
        <v>0</v>
      </c>
      <c r="T98" s="28">
        <f t="shared" si="22"/>
        <v>0</v>
      </c>
      <c r="U98" s="28">
        <f t="shared" si="23"/>
        <v>0</v>
      </c>
      <c r="V98" s="28">
        <f t="shared" si="24"/>
        <v>0</v>
      </c>
      <c r="W98" s="31">
        <f t="shared" si="26"/>
        <v>0</v>
      </c>
      <c r="Y98" s="826"/>
      <c r="Z98" s="492" t="s">
        <v>284</v>
      </c>
      <c r="AA98" s="707">
        <f>(SUMIF($D$2:$D$57,"industrial",$H$2:$H$103))/1000</f>
        <v>16.170000000000002</v>
      </c>
      <c r="AB98" s="708">
        <f>(SUMIF($D$2:$D$57,"industrial",$S$2:$S$103))/1000</f>
        <v>16.170000000000002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0"/>
        <v>0</v>
      </c>
      <c r="L99" s="28">
        <f t="shared" si="25"/>
        <v>-1526</v>
      </c>
      <c r="M99" s="810"/>
      <c r="N99" s="810"/>
      <c r="O99" s="30">
        <f t="shared" si="31"/>
        <v>0</v>
      </c>
      <c r="P99" s="171"/>
      <c r="Q99" s="31">
        <f t="shared" si="30"/>
        <v>0</v>
      </c>
      <c r="R99" s="31"/>
      <c r="S99" s="28">
        <f t="shared" si="21"/>
        <v>0</v>
      </c>
      <c r="T99" s="28">
        <f t="shared" si="22"/>
        <v>0</v>
      </c>
      <c r="U99" s="28">
        <f t="shared" si="23"/>
        <v>0</v>
      </c>
      <c r="V99" s="28">
        <f t="shared" si="24"/>
        <v>0</v>
      </c>
      <c r="W99" s="31">
        <f t="shared" si="26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0"/>
        <v>0</v>
      </c>
      <c r="L100" s="28">
        <f t="shared" si="25"/>
        <v>-1526</v>
      </c>
      <c r="M100" s="810"/>
      <c r="N100" s="810"/>
      <c r="O100" s="30">
        <f t="shared" si="31"/>
        <v>0</v>
      </c>
      <c r="P100" s="171"/>
      <c r="Q100" s="31">
        <f t="shared" si="30"/>
        <v>0</v>
      </c>
      <c r="R100" s="31"/>
      <c r="S100" s="28">
        <f t="shared" si="21"/>
        <v>0</v>
      </c>
      <c r="T100" s="28">
        <f t="shared" si="22"/>
        <v>0</v>
      </c>
      <c r="U100" s="28">
        <f t="shared" si="23"/>
        <v>0</v>
      </c>
      <c r="V100" s="28">
        <f t="shared" si="24"/>
        <v>0</v>
      </c>
      <c r="W100" s="31">
        <f t="shared" si="26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105.15</v>
      </c>
      <c r="AB100" s="708">
        <f>(SUMIF($D$2:$D$57,"termico",$S$2:$S$103)+SUMIF($D$2:$D$57,"electrico",$S$2:$S$103)+SUMIF($D$2:$D$57,"térmico",$S$2:$S$103))/1000</f>
        <v>105.15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0"/>
        <v>0</v>
      </c>
      <c r="L101" s="28">
        <f t="shared" si="25"/>
        <v>-1526</v>
      </c>
      <c r="M101" s="810"/>
      <c r="N101" s="810"/>
      <c r="O101" s="30">
        <f t="shared" si="31"/>
        <v>0</v>
      </c>
      <c r="P101" s="171"/>
      <c r="Q101" s="31">
        <f t="shared" si="30"/>
        <v>0</v>
      </c>
      <c r="R101" s="31"/>
      <c r="S101" s="28">
        <f t="shared" si="21"/>
        <v>0</v>
      </c>
      <c r="T101" s="28">
        <f t="shared" si="22"/>
        <v>0</v>
      </c>
      <c r="U101" s="28">
        <f t="shared" si="23"/>
        <v>0</v>
      </c>
      <c r="V101" s="28">
        <f t="shared" si="24"/>
        <v>0</v>
      </c>
      <c r="W101" s="31">
        <f t="shared" si="26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0"/>
        <v>0</v>
      </c>
      <c r="L102" s="28">
        <f t="shared" si="25"/>
        <v>-1526</v>
      </c>
      <c r="M102" s="810"/>
      <c r="N102" s="810"/>
      <c r="O102" s="30">
        <f t="shared" si="31"/>
        <v>0</v>
      </c>
      <c r="P102" s="171"/>
      <c r="Q102" s="31">
        <f t="shared" si="30"/>
        <v>0</v>
      </c>
      <c r="R102" s="31"/>
      <c r="S102" s="28">
        <f t="shared" si="21"/>
        <v>0</v>
      </c>
      <c r="T102" s="28">
        <f t="shared" si="22"/>
        <v>0</v>
      </c>
      <c r="U102" s="28">
        <f t="shared" si="23"/>
        <v>0</v>
      </c>
      <c r="V102" s="28">
        <f t="shared" si="24"/>
        <v>0</v>
      </c>
      <c r="W102" s="31">
        <f t="shared" si="26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32.874000000000002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0"/>
        <v>0</v>
      </c>
      <c r="L103" s="28">
        <f t="shared" si="25"/>
        <v>-1526</v>
      </c>
      <c r="M103" s="810"/>
      <c r="N103" s="810"/>
      <c r="O103" s="30">
        <f t="shared" si="31"/>
        <v>0</v>
      </c>
      <c r="P103" s="179"/>
      <c r="Q103" s="31">
        <f t="shared" si="30"/>
        <v>0</v>
      </c>
      <c r="R103" s="31"/>
      <c r="S103" s="28">
        <f t="shared" si="21"/>
        <v>0</v>
      </c>
      <c r="T103" s="28">
        <f t="shared" si="22"/>
        <v>0</v>
      </c>
      <c r="U103" s="28">
        <f t="shared" si="23"/>
        <v>0</v>
      </c>
      <c r="V103" s="28">
        <f t="shared" si="24"/>
        <v>0</v>
      </c>
      <c r="W103" s="31">
        <f t="shared" si="26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153037</v>
      </c>
      <c r="I105" s="252">
        <f>+SUM(I2:I103)</f>
        <v>27806</v>
      </c>
      <c r="J105" s="252">
        <f>+SUM(J2:J103)</f>
        <v>34400</v>
      </c>
      <c r="K105" s="252">
        <f>SUM(K2:K103)</f>
        <v>215243</v>
      </c>
      <c r="L105" s="253">
        <f>+L103</f>
        <v>-1526</v>
      </c>
      <c r="M105" s="252">
        <f>SUM(M2:M103)</f>
        <v>0</v>
      </c>
      <c r="N105" s="252">
        <f>SUM(N2:N103)</f>
        <v>215243</v>
      </c>
      <c r="O105" s="252"/>
      <c r="P105" s="252">
        <f>SUM(P2:P103)</f>
        <v>0</v>
      </c>
      <c r="Q105" s="252">
        <f>SUM(Q2:Q103)</f>
        <v>0</v>
      </c>
      <c r="R105" s="252">
        <f>SUM(R2:R103)</f>
        <v>-1526</v>
      </c>
      <c r="S105" s="252">
        <f>SUM(S2:S103)</f>
        <v>153037</v>
      </c>
      <c r="T105" s="252">
        <f>+SUM(T2:T103)</f>
        <v>27806</v>
      </c>
      <c r="U105" s="252">
        <f>SUM(U2:U103)</f>
        <v>32874</v>
      </c>
      <c r="V105" s="252">
        <f>SUM(V2:V103)</f>
        <v>213717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>
        <v>131037</v>
      </c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>
        <f>H106-H105</f>
        <v>-22000</v>
      </c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194743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-12589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M85:M103"/>
    <mergeCell ref="N85:N93"/>
    <mergeCell ref="Y92:Y96"/>
    <mergeCell ref="N94:N103"/>
    <mergeCell ref="Y97:Y101"/>
    <mergeCell ref="Y69:Z69"/>
    <mergeCell ref="AA72:AC72"/>
    <mergeCell ref="AK72:AK74"/>
    <mergeCell ref="AL72:AL74"/>
    <mergeCell ref="AB75:AD75"/>
    <mergeCell ref="N81:N84"/>
    <mergeCell ref="M56:M57"/>
    <mergeCell ref="N56:N57"/>
    <mergeCell ref="Y56:AD56"/>
    <mergeCell ref="Y66:Z66"/>
    <mergeCell ref="Y67:Z67"/>
    <mergeCell ref="Y68:Z68"/>
    <mergeCell ref="N27:N49"/>
    <mergeCell ref="P27:P49"/>
    <mergeCell ref="Y33:Y34"/>
    <mergeCell ref="N50:N55"/>
    <mergeCell ref="P50:P55"/>
    <mergeCell ref="Y55:AD55"/>
    <mergeCell ref="AB1:AE1"/>
    <mergeCell ref="AF1:AF2"/>
    <mergeCell ref="AG1:AG2"/>
    <mergeCell ref="N2:N26"/>
    <mergeCell ref="P2:P26"/>
    <mergeCell ref="AQ2:AU2"/>
    <mergeCell ref="AB15:AC15"/>
    <mergeCell ref="AB16:AC16"/>
    <mergeCell ref="AB17:AC17"/>
  </mergeCells>
  <conditionalFormatting sqref="AA78">
    <cfRule type="cellIs" dxfId="14" priority="3" operator="lessThan">
      <formula>$AA$78</formula>
    </cfRule>
    <cfRule type="cellIs" dxfId="13" priority="5" operator="greaterThan">
      <formula>$AE$78</formula>
    </cfRule>
  </conditionalFormatting>
  <conditionalFormatting sqref="AA79">
    <cfRule type="cellIs" dxfId="12" priority="4" operator="greaterThan">
      <formula>$AE$79</formula>
    </cfRule>
  </conditionalFormatting>
  <conditionalFormatting sqref="AA80">
    <cfRule type="cellIs" dxfId="11" priority="2" operator="greaterThan">
      <formula>$AE$79</formula>
    </cfRule>
  </conditionalFormatting>
  <conditionalFormatting sqref="AU4:AU23">
    <cfRule type="cellIs" dxfId="1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86"/>
  <sheetViews>
    <sheetView topLeftCell="W49" zoomScale="90" zoomScaleNormal="90" workbookViewId="0">
      <selection activeCell="AA68" sqref="AA68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 t="shared" ref="K2:K65" si="0">SUM(H2:J2)</f>
        <v>3000</v>
      </c>
      <c r="L2" s="28">
        <f>AA4-K2</f>
        <v>210717</v>
      </c>
      <c r="M2" s="29"/>
      <c r="N2" s="798">
        <f>SUM(K2:K26)</f>
        <v>171536</v>
      </c>
      <c r="O2" s="30">
        <f t="shared" ref="O2:O17" si="1">+K2/$N$2</f>
        <v>1.7489040201473745E-2</v>
      </c>
      <c r="P2" s="801"/>
      <c r="Q2" s="31">
        <f t="shared" ref="Q2:Q15" si="2">IF($P$2=0,0,(-($P$2*O2)+K2)-K2)</f>
        <v>0</v>
      </c>
      <c r="R2" s="31"/>
      <c r="S2" s="28">
        <f t="shared" ref="S2:S65" si="3">IF(H2&lt;&gt;0,+H2+Q2+R2,0)</f>
        <v>3000</v>
      </c>
      <c r="T2" s="28">
        <f t="shared" ref="T2:T65" si="4">IF(I2&lt;&gt;0,+I2+Q2+R2,0)</f>
        <v>0</v>
      </c>
      <c r="U2" s="28">
        <f t="shared" ref="U2:U65" si="5">IF(J2&lt;&gt;0,+J2+Q2+R2,0)</f>
        <v>0</v>
      </c>
      <c r="V2" s="28">
        <f t="shared" ref="V2:V65" si="6">+S2+T2+U2</f>
        <v>3000</v>
      </c>
      <c r="W2" s="31">
        <f>Z24-V2</f>
        <v>210717</v>
      </c>
      <c r="X2" s="32">
        <f t="shared" ref="X2:X17" si="7"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61" t="s">
        <v>31</v>
      </c>
      <c r="AE2" s="761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si="0"/>
        <v>1100</v>
      </c>
      <c r="L3" s="28">
        <f t="shared" ref="L3:L66" si="8">+L2-K3</f>
        <v>209617</v>
      </c>
      <c r="M3" s="29"/>
      <c r="N3" s="799"/>
      <c r="O3" s="30">
        <f t="shared" si="1"/>
        <v>6.4126480738737057E-3</v>
      </c>
      <c r="P3" s="802"/>
      <c r="Q3" s="31">
        <f t="shared" si="2"/>
        <v>0</v>
      </c>
      <c r="R3" s="31"/>
      <c r="S3" s="28">
        <f t="shared" si="3"/>
        <v>0</v>
      </c>
      <c r="T3" s="28">
        <f t="shared" si="4"/>
        <v>1100</v>
      </c>
      <c r="U3" s="28">
        <f t="shared" si="5"/>
        <v>0</v>
      </c>
      <c r="V3" s="28">
        <f t="shared" si="6"/>
        <v>1100</v>
      </c>
      <c r="W3" s="31">
        <f t="shared" ref="W3:W66" si="9">+W2-V3</f>
        <v>209617</v>
      </c>
      <c r="X3" s="32">
        <f t="shared" si="7"/>
        <v>0</v>
      </c>
      <c r="Y3" s="37" t="s">
        <v>34</v>
      </c>
      <c r="Z3" s="38">
        <f>ROUND((Z13*57%),0)</f>
        <v>284088</v>
      </c>
      <c r="AA3" s="39">
        <f>ROUND((+Z14*0.57),0)</f>
        <v>283300</v>
      </c>
      <c r="AB3" s="454">
        <v>60091</v>
      </c>
      <c r="AC3" s="455">
        <v>170034</v>
      </c>
      <c r="AD3" s="40">
        <v>47126</v>
      </c>
      <c r="AE3" s="736">
        <f>SUM(AB3:AD3)</f>
        <v>277251</v>
      </c>
      <c r="AF3" s="41">
        <f>AA3-AE3</f>
        <v>6049</v>
      </c>
      <c r="AG3" s="42">
        <f>AA3-AB3-AC3-AD3</f>
        <v>6049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11193</v>
      </c>
      <c r="J4" s="26"/>
      <c r="K4" s="27">
        <f t="shared" si="0"/>
        <v>11193</v>
      </c>
      <c r="L4" s="28">
        <f t="shared" si="8"/>
        <v>198424</v>
      </c>
      <c r="M4" s="29"/>
      <c r="N4" s="799"/>
      <c r="O4" s="30">
        <f t="shared" si="1"/>
        <v>6.5251608991698531E-2</v>
      </c>
      <c r="P4" s="802"/>
      <c r="Q4" s="31">
        <f t="shared" si="2"/>
        <v>0</v>
      </c>
      <c r="R4" s="31"/>
      <c r="S4" s="28">
        <f t="shared" si="3"/>
        <v>0</v>
      </c>
      <c r="T4" s="28">
        <f t="shared" si="4"/>
        <v>11193</v>
      </c>
      <c r="U4" s="28">
        <f t="shared" si="5"/>
        <v>0</v>
      </c>
      <c r="V4" s="28">
        <f t="shared" si="6"/>
        <v>11193</v>
      </c>
      <c r="W4" s="31">
        <f t="shared" si="9"/>
        <v>198424</v>
      </c>
      <c r="X4" s="32">
        <f t="shared" si="7"/>
        <v>0</v>
      </c>
      <c r="Y4" s="37" t="s">
        <v>38</v>
      </c>
      <c r="Z4" s="38">
        <f>ROUND((Z13*43%),0)</f>
        <v>214312</v>
      </c>
      <c r="AA4" s="39">
        <f>ROUND((+Z14*0.43),0)</f>
        <v>213717</v>
      </c>
      <c r="AB4" s="43">
        <f>T105</f>
        <v>27806</v>
      </c>
      <c r="AC4" s="43">
        <f>S105</f>
        <v>153037</v>
      </c>
      <c r="AD4" s="40">
        <f>U105</f>
        <v>32874</v>
      </c>
      <c r="AE4" s="736">
        <f>SUM(AB4:AD4)</f>
        <v>213717</v>
      </c>
      <c r="AF4" s="41">
        <f>AA4-AE4</f>
        <v>0</v>
      </c>
      <c r="AG4" s="42">
        <f>AA4-AB4-AC4-AD4</f>
        <v>0</v>
      </c>
      <c r="AH4" s="751">
        <f>AG4/1000</f>
        <v>0</v>
      </c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8"/>
        <v>197224</v>
      </c>
      <c r="M5" s="29"/>
      <c r="N5" s="799"/>
      <c r="O5" s="30">
        <f t="shared" si="1"/>
        <v>6.9956160805894974E-3</v>
      </c>
      <c r="P5" s="802"/>
      <c r="Q5" s="31">
        <f t="shared" si="2"/>
        <v>0</v>
      </c>
      <c r="R5" s="31"/>
      <c r="S5" s="28">
        <f t="shared" si="3"/>
        <v>0</v>
      </c>
      <c r="T5" s="28">
        <f t="shared" si="4"/>
        <v>1200</v>
      </c>
      <c r="U5" s="28">
        <f t="shared" si="5"/>
        <v>0</v>
      </c>
      <c r="V5" s="28">
        <f t="shared" si="6"/>
        <v>1200</v>
      </c>
      <c r="W5" s="31">
        <f t="shared" si="9"/>
        <v>197224</v>
      </c>
      <c r="X5" s="32">
        <f t="shared" si="7"/>
        <v>0</v>
      </c>
      <c r="Y5" s="44" t="s">
        <v>41</v>
      </c>
      <c r="Z5" s="38">
        <f>SUM(Z3:Z4)</f>
        <v>498400</v>
      </c>
      <c r="AA5" s="45">
        <f>SUM(AA3:AA4)</f>
        <v>497017</v>
      </c>
      <c r="AB5" s="46">
        <f>SUM(AB3:AB4)</f>
        <v>87897</v>
      </c>
      <c r="AC5" s="41">
        <f>SUM(AC3:AC4)</f>
        <v>323071</v>
      </c>
      <c r="AD5" s="40">
        <f>SUM(AD3:AD4)</f>
        <v>80000</v>
      </c>
      <c r="AE5" s="41">
        <f>SUM(AB5:AD5)</f>
        <v>490968</v>
      </c>
      <c r="AF5" s="47">
        <f>SUM(AF3:AF4)</f>
        <v>6049</v>
      </c>
      <c r="AG5" s="47">
        <f>SUM(AG3:AG4)</f>
        <v>6049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8"/>
        <v>185224</v>
      </c>
      <c r="M6" s="29"/>
      <c r="N6" s="799"/>
      <c r="O6" s="30">
        <f t="shared" si="1"/>
        <v>6.9956160805894979E-2</v>
      </c>
      <c r="P6" s="802"/>
      <c r="Q6" s="31">
        <f t="shared" si="2"/>
        <v>0</v>
      </c>
      <c r="R6" s="48"/>
      <c r="S6" s="28">
        <f t="shared" si="3"/>
        <v>12000</v>
      </c>
      <c r="T6" s="28">
        <f t="shared" si="4"/>
        <v>0</v>
      </c>
      <c r="U6" s="28">
        <f t="shared" si="5"/>
        <v>0</v>
      </c>
      <c r="V6" s="28">
        <f t="shared" si="6"/>
        <v>12000</v>
      </c>
      <c r="W6" s="31">
        <f t="shared" si="9"/>
        <v>185224</v>
      </c>
      <c r="X6" s="32">
        <f t="shared" si="7"/>
        <v>0</v>
      </c>
      <c r="Z6" s="49">
        <f>5000*43%</f>
        <v>2150</v>
      </c>
      <c r="AA6" s="50"/>
      <c r="AB6" s="17"/>
      <c r="AC6" s="50"/>
      <c r="AD6" s="51">
        <f>80000-AD4</f>
        <v>47126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1940+11987</f>
        <v>13927</v>
      </c>
      <c r="I7" s="518">
        <f>800+460+2813</f>
        <v>4073</v>
      </c>
      <c r="J7" s="26"/>
      <c r="K7" s="27">
        <f t="shared" si="0"/>
        <v>18000</v>
      </c>
      <c r="L7" s="28">
        <f t="shared" si="8"/>
        <v>167224</v>
      </c>
      <c r="M7" s="29"/>
      <c r="N7" s="799"/>
      <c r="O7" s="30">
        <f t="shared" si="1"/>
        <v>0.10493424120884245</v>
      </c>
      <c r="P7" s="802"/>
      <c r="Q7" s="31">
        <f t="shared" si="2"/>
        <v>0</v>
      </c>
      <c r="R7" s="31"/>
      <c r="S7" s="28">
        <f t="shared" si="3"/>
        <v>13927</v>
      </c>
      <c r="T7" s="28">
        <f t="shared" si="4"/>
        <v>4073</v>
      </c>
      <c r="U7" s="28">
        <f t="shared" si="5"/>
        <v>0</v>
      </c>
      <c r="V7" s="28">
        <f t="shared" si="6"/>
        <v>18000</v>
      </c>
      <c r="W7" s="31">
        <f t="shared" si="9"/>
        <v>167224</v>
      </c>
      <c r="X7" s="32">
        <f t="shared" si="7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8"/>
        <v>164724</v>
      </c>
      <c r="M8" s="29"/>
      <c r="N8" s="799"/>
      <c r="O8" s="30">
        <f t="shared" si="1"/>
        <v>1.4574200167894786E-2</v>
      </c>
      <c r="P8" s="802"/>
      <c r="Q8" s="31">
        <f t="shared" si="2"/>
        <v>0</v>
      </c>
      <c r="R8" s="31"/>
      <c r="S8" s="28">
        <f t="shared" si="3"/>
        <v>2500</v>
      </c>
      <c r="T8" s="28">
        <f t="shared" si="4"/>
        <v>0</v>
      </c>
      <c r="U8" s="28">
        <f t="shared" si="5"/>
        <v>0</v>
      </c>
      <c r="V8" s="28">
        <f t="shared" si="6"/>
        <v>2500</v>
      </c>
      <c r="W8" s="31">
        <f t="shared" si="9"/>
        <v>164724</v>
      </c>
      <c r="X8" s="32">
        <f t="shared" si="7"/>
        <v>0</v>
      </c>
      <c r="Y8" s="14" t="s">
        <v>47</v>
      </c>
      <c r="Z8" s="732">
        <f ca="1">TODAY()</f>
        <v>41937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290</v>
      </c>
      <c r="I9" s="518">
        <v>1910</v>
      </c>
      <c r="J9" s="26"/>
      <c r="K9" s="27">
        <f t="shared" si="0"/>
        <v>2200</v>
      </c>
      <c r="L9" s="28">
        <f t="shared" si="8"/>
        <v>162524</v>
      </c>
      <c r="M9" s="29"/>
      <c r="N9" s="799"/>
      <c r="O9" s="30">
        <f t="shared" si="1"/>
        <v>1.2825296147747411E-2</v>
      </c>
      <c r="P9" s="802"/>
      <c r="Q9" s="31">
        <f t="shared" si="2"/>
        <v>0</v>
      </c>
      <c r="R9" s="31"/>
      <c r="S9" s="28">
        <f t="shared" si="3"/>
        <v>290</v>
      </c>
      <c r="T9" s="28">
        <f t="shared" si="4"/>
        <v>1910</v>
      </c>
      <c r="U9" s="28">
        <f t="shared" si="5"/>
        <v>0</v>
      </c>
      <c r="V9" s="28">
        <f t="shared" si="6"/>
        <v>2200</v>
      </c>
      <c r="W9" s="31">
        <f t="shared" si="9"/>
        <v>162524</v>
      </c>
      <c r="X9" s="32">
        <f t="shared" si="7"/>
        <v>0</v>
      </c>
      <c r="Y9" s="14" t="s">
        <v>189</v>
      </c>
      <c r="Z9" s="58">
        <v>498400</v>
      </c>
      <c r="AA9" s="59">
        <f>Z9*14.65/14.73</f>
        <v>495693.14324507804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15000</v>
      </c>
      <c r="I10" s="518">
        <v>5000</v>
      </c>
      <c r="J10" s="26"/>
      <c r="K10" s="27">
        <f t="shared" si="0"/>
        <v>20000</v>
      </c>
      <c r="L10" s="28">
        <f t="shared" si="8"/>
        <v>142524</v>
      </c>
      <c r="M10" s="29"/>
      <c r="N10" s="799"/>
      <c r="O10" s="30">
        <f t="shared" si="1"/>
        <v>0.11659360134315828</v>
      </c>
      <c r="P10" s="802"/>
      <c r="Q10" s="31">
        <f t="shared" si="2"/>
        <v>0</v>
      </c>
      <c r="R10" s="31">
        <v>0</v>
      </c>
      <c r="S10" s="28">
        <f t="shared" si="3"/>
        <v>15000</v>
      </c>
      <c r="T10" s="28">
        <f t="shared" si="4"/>
        <v>5000</v>
      </c>
      <c r="U10" s="28">
        <f t="shared" si="5"/>
        <v>0</v>
      </c>
      <c r="V10" s="28">
        <f t="shared" si="6"/>
        <v>20000</v>
      </c>
      <c r="W10" s="31">
        <f t="shared" si="9"/>
        <v>142524</v>
      </c>
      <c r="X10" s="32">
        <f t="shared" si="7"/>
        <v>0</v>
      </c>
      <c r="Y10" s="14" t="s">
        <v>191</v>
      </c>
      <c r="Z10" s="58">
        <f>ROUND((Z9*Z30),0)</f>
        <v>497017</v>
      </c>
      <c r="AA10" s="59">
        <f>Z10*14.65/14.73</f>
        <v>494317.6544467074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8"/>
        <v>124524</v>
      </c>
      <c r="M11" s="29"/>
      <c r="N11" s="799"/>
      <c r="O11" s="30">
        <f t="shared" si="1"/>
        <v>0.10493424120884245</v>
      </c>
      <c r="P11" s="802"/>
      <c r="Q11" s="31">
        <f t="shared" si="2"/>
        <v>0</v>
      </c>
      <c r="R11" s="31">
        <v>0</v>
      </c>
      <c r="S11" s="28">
        <f t="shared" si="3"/>
        <v>18000</v>
      </c>
      <c r="T11" s="28">
        <f t="shared" si="4"/>
        <v>0</v>
      </c>
      <c r="U11" s="28">
        <f t="shared" si="5"/>
        <v>0</v>
      </c>
      <c r="V11" s="28">
        <f t="shared" si="6"/>
        <v>18000</v>
      </c>
      <c r="W11" s="31">
        <f t="shared" si="9"/>
        <v>124524</v>
      </c>
      <c r="X11" s="32">
        <f t="shared" si="7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8"/>
        <v>120924</v>
      </c>
      <c r="M12" s="29"/>
      <c r="N12" s="799"/>
      <c r="O12" s="30">
        <f t="shared" si="1"/>
        <v>2.0986848241768493E-2</v>
      </c>
      <c r="P12" s="802"/>
      <c r="Q12" s="31">
        <f t="shared" si="2"/>
        <v>0</v>
      </c>
      <c r="R12" s="31">
        <v>0</v>
      </c>
      <c r="S12" s="28">
        <f t="shared" si="3"/>
        <v>3600</v>
      </c>
      <c r="T12" s="28">
        <f t="shared" si="4"/>
        <v>0</v>
      </c>
      <c r="U12" s="28">
        <f t="shared" si="5"/>
        <v>0</v>
      </c>
      <c r="V12" s="28">
        <f t="shared" si="6"/>
        <v>3600</v>
      </c>
      <c r="W12" s="31">
        <f t="shared" si="9"/>
        <v>120924</v>
      </c>
      <c r="X12" s="32">
        <f t="shared" si="7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8"/>
        <v>114924</v>
      </c>
      <c r="M13" s="29"/>
      <c r="N13" s="799"/>
      <c r="O13" s="30">
        <f t="shared" si="1"/>
        <v>3.497808040294749E-2</v>
      </c>
      <c r="P13" s="802"/>
      <c r="Q13" s="31">
        <f t="shared" si="2"/>
        <v>0</v>
      </c>
      <c r="R13" s="31">
        <v>0</v>
      </c>
      <c r="S13" s="28">
        <f t="shared" si="3"/>
        <v>6000</v>
      </c>
      <c r="T13" s="28">
        <f t="shared" si="4"/>
        <v>0</v>
      </c>
      <c r="U13" s="28">
        <f t="shared" si="5"/>
        <v>0</v>
      </c>
      <c r="V13" s="28">
        <f t="shared" si="6"/>
        <v>6000</v>
      </c>
      <c r="W13" s="31">
        <f t="shared" si="9"/>
        <v>114924</v>
      </c>
      <c r="X13" s="32">
        <f t="shared" si="7"/>
        <v>0</v>
      </c>
      <c r="Y13" s="14" t="s">
        <v>67</v>
      </c>
      <c r="Z13" s="67">
        <f>Z14/Z30</f>
        <v>498399.51744236558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/>
      <c r="I14" s="26">
        <v>0</v>
      </c>
      <c r="J14" s="26"/>
      <c r="K14" s="27">
        <f t="shared" si="0"/>
        <v>0</v>
      </c>
      <c r="L14" s="28">
        <f t="shared" si="8"/>
        <v>114924</v>
      </c>
      <c r="M14" s="29"/>
      <c r="N14" s="799"/>
      <c r="O14" s="30">
        <f t="shared" si="1"/>
        <v>0</v>
      </c>
      <c r="P14" s="802"/>
      <c r="Q14" s="31">
        <f t="shared" si="2"/>
        <v>0</v>
      </c>
      <c r="R14" s="31">
        <v>0</v>
      </c>
      <c r="S14" s="28">
        <f t="shared" si="3"/>
        <v>0</v>
      </c>
      <c r="T14" s="28">
        <f t="shared" si="4"/>
        <v>0</v>
      </c>
      <c r="U14" s="28">
        <f t="shared" si="5"/>
        <v>0</v>
      </c>
      <c r="V14" s="28">
        <f t="shared" si="6"/>
        <v>0</v>
      </c>
      <c r="W14" s="31">
        <f t="shared" si="9"/>
        <v>114924</v>
      </c>
      <c r="X14" s="32">
        <f t="shared" si="7"/>
        <v>0</v>
      </c>
      <c r="Y14" s="14" t="s">
        <v>70</v>
      </c>
      <c r="Z14" s="67">
        <f>+Z10-(Z11+Z12)</f>
        <v>497017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11343</v>
      </c>
      <c r="I15" s="26"/>
      <c r="J15" s="26"/>
      <c r="K15" s="27">
        <f t="shared" si="0"/>
        <v>11343</v>
      </c>
      <c r="L15" s="28">
        <f t="shared" si="8"/>
        <v>103581</v>
      </c>
      <c r="M15" s="29"/>
      <c r="N15" s="799"/>
      <c r="O15" s="30">
        <f t="shared" si="1"/>
        <v>6.6126061001772221E-2</v>
      </c>
      <c r="P15" s="802"/>
      <c r="Q15" s="31">
        <f t="shared" si="2"/>
        <v>0</v>
      </c>
      <c r="R15" s="31">
        <v>0</v>
      </c>
      <c r="S15" s="28">
        <f t="shared" si="3"/>
        <v>11343</v>
      </c>
      <c r="T15" s="28">
        <f t="shared" si="4"/>
        <v>0</v>
      </c>
      <c r="U15" s="28">
        <f t="shared" si="5"/>
        <v>0</v>
      </c>
      <c r="V15" s="28">
        <f t="shared" si="6"/>
        <v>11343</v>
      </c>
      <c r="W15" s="31">
        <f t="shared" si="9"/>
        <v>103581</v>
      </c>
      <c r="X15" s="32">
        <f t="shared" si="7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/>
      <c r="I16" s="26"/>
      <c r="J16" s="26"/>
      <c r="K16" s="27">
        <f t="shared" si="0"/>
        <v>0</v>
      </c>
      <c r="L16" s="28">
        <f t="shared" si="8"/>
        <v>103581</v>
      </c>
      <c r="M16" s="29"/>
      <c r="N16" s="799"/>
      <c r="O16" s="30">
        <f t="shared" si="1"/>
        <v>0</v>
      </c>
      <c r="P16" s="802"/>
      <c r="Q16" s="31">
        <v>0</v>
      </c>
      <c r="R16" s="31">
        <v>0</v>
      </c>
      <c r="S16" s="28">
        <f t="shared" si="3"/>
        <v>0</v>
      </c>
      <c r="T16" s="28">
        <f t="shared" si="4"/>
        <v>0</v>
      </c>
      <c r="U16" s="28">
        <f t="shared" si="5"/>
        <v>0</v>
      </c>
      <c r="V16" s="28">
        <f t="shared" si="6"/>
        <v>0</v>
      </c>
      <c r="W16" s="31">
        <f t="shared" si="9"/>
        <v>103581</v>
      </c>
      <c r="X16" s="32">
        <f t="shared" si="7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3000</v>
      </c>
      <c r="J17" s="26"/>
      <c r="K17" s="27">
        <f t="shared" si="0"/>
        <v>3000</v>
      </c>
      <c r="L17" s="28">
        <f t="shared" si="8"/>
        <v>100581</v>
      </c>
      <c r="M17" s="29"/>
      <c r="N17" s="799"/>
      <c r="O17" s="30">
        <f t="shared" si="1"/>
        <v>1.7489040201473745E-2</v>
      </c>
      <c r="P17" s="802"/>
      <c r="Q17" s="31">
        <f t="shared" ref="Q17:Q29" si="10">IF($P$2=0,0,(-($P$2*O17)+K17)-K17)</f>
        <v>0</v>
      </c>
      <c r="R17" s="31">
        <v>0</v>
      </c>
      <c r="S17" s="28">
        <f t="shared" si="3"/>
        <v>0</v>
      </c>
      <c r="T17" s="28">
        <f t="shared" si="4"/>
        <v>3000</v>
      </c>
      <c r="U17" s="28">
        <f t="shared" si="5"/>
        <v>0</v>
      </c>
      <c r="V17" s="28">
        <f t="shared" si="6"/>
        <v>3000</v>
      </c>
      <c r="W17" s="31">
        <f t="shared" si="9"/>
        <v>100581</v>
      </c>
      <c r="X17" s="32">
        <f t="shared" si="7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330</v>
      </c>
      <c r="J18" s="26"/>
      <c r="K18" s="27">
        <f t="shared" si="0"/>
        <v>330</v>
      </c>
      <c r="L18" s="28">
        <f t="shared" si="8"/>
        <v>100251</v>
      </c>
      <c r="M18" s="29"/>
      <c r="N18" s="799"/>
      <c r="O18" s="30"/>
      <c r="P18" s="802"/>
      <c r="Q18" s="31">
        <f t="shared" si="10"/>
        <v>0</v>
      </c>
      <c r="R18" s="31">
        <v>0</v>
      </c>
      <c r="S18" s="28">
        <f t="shared" si="3"/>
        <v>0</v>
      </c>
      <c r="T18" s="28">
        <f t="shared" si="4"/>
        <v>330</v>
      </c>
      <c r="U18" s="28">
        <f t="shared" si="5"/>
        <v>0</v>
      </c>
      <c r="V18" s="28">
        <f t="shared" si="6"/>
        <v>330</v>
      </c>
      <c r="W18" s="31">
        <f t="shared" si="9"/>
        <v>100251</v>
      </c>
      <c r="X18" s="32"/>
      <c r="Y18" s="14" t="s">
        <v>77</v>
      </c>
      <c r="Z18" s="71">
        <f>ROUND(Z14*0.43,0)</f>
        <v>213717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2670</v>
      </c>
      <c r="I19" s="26"/>
      <c r="J19" s="26"/>
      <c r="K19" s="27">
        <f t="shared" si="0"/>
        <v>2670</v>
      </c>
      <c r="L19" s="28">
        <f t="shared" si="8"/>
        <v>97581</v>
      </c>
      <c r="M19" s="29"/>
      <c r="N19" s="799"/>
      <c r="O19" s="30">
        <f>+K19/$N$2</f>
        <v>1.5565245779311631E-2</v>
      </c>
      <c r="P19" s="802"/>
      <c r="Q19" s="31">
        <f t="shared" si="10"/>
        <v>0</v>
      </c>
      <c r="R19" s="31">
        <v>0</v>
      </c>
      <c r="S19" s="28">
        <f t="shared" si="3"/>
        <v>2670</v>
      </c>
      <c r="T19" s="28">
        <f t="shared" si="4"/>
        <v>0</v>
      </c>
      <c r="U19" s="28">
        <f t="shared" si="5"/>
        <v>0</v>
      </c>
      <c r="V19" s="28">
        <f t="shared" si="6"/>
        <v>2670</v>
      </c>
      <c r="W19" s="31">
        <f t="shared" si="9"/>
        <v>97581</v>
      </c>
      <c r="X19" s="32">
        <f>W19-L19</f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8"/>
        <v>96081</v>
      </c>
      <c r="M20" s="29"/>
      <c r="N20" s="799"/>
      <c r="O20" s="30">
        <f>+K20/$N$2</f>
        <v>8.7445201007368724E-3</v>
      </c>
      <c r="P20" s="802"/>
      <c r="Q20" s="31">
        <f t="shared" si="10"/>
        <v>0</v>
      </c>
      <c r="R20" s="31">
        <v>0</v>
      </c>
      <c r="S20" s="28">
        <f t="shared" si="3"/>
        <v>1500</v>
      </c>
      <c r="T20" s="28">
        <f t="shared" si="4"/>
        <v>0</v>
      </c>
      <c r="U20" s="28">
        <f t="shared" si="5"/>
        <v>0</v>
      </c>
      <c r="V20" s="28">
        <f t="shared" si="6"/>
        <v>1500</v>
      </c>
      <c r="W20" s="31">
        <f t="shared" si="9"/>
        <v>96081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8"/>
        <v>96081</v>
      </c>
      <c r="M21" s="29"/>
      <c r="N21" s="799"/>
      <c r="O21" s="30"/>
      <c r="P21" s="802"/>
      <c r="Q21" s="31">
        <f t="shared" si="10"/>
        <v>0</v>
      </c>
      <c r="R21" s="31">
        <v>0</v>
      </c>
      <c r="S21" s="28">
        <f t="shared" si="3"/>
        <v>0</v>
      </c>
      <c r="T21" s="28">
        <f t="shared" si="4"/>
        <v>0</v>
      </c>
      <c r="U21" s="28">
        <f t="shared" si="5"/>
        <v>0</v>
      </c>
      <c r="V21" s="28">
        <f t="shared" si="6"/>
        <v>0</v>
      </c>
      <c r="W21" s="31">
        <f t="shared" si="9"/>
        <v>96081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8"/>
        <v>88581</v>
      </c>
      <c r="M22" s="29"/>
      <c r="N22" s="799"/>
      <c r="O22" s="30">
        <f>+K22/$N$2</f>
        <v>4.3722600503684358E-2</v>
      </c>
      <c r="P22" s="802"/>
      <c r="Q22" s="31">
        <f t="shared" si="10"/>
        <v>0</v>
      </c>
      <c r="R22" s="31">
        <v>0</v>
      </c>
      <c r="S22" s="28">
        <f t="shared" si="3"/>
        <v>7500</v>
      </c>
      <c r="T22" s="28">
        <f t="shared" si="4"/>
        <v>0</v>
      </c>
      <c r="U22" s="28">
        <f t="shared" si="5"/>
        <v>0</v>
      </c>
      <c r="V22" s="28">
        <f t="shared" si="6"/>
        <v>7500</v>
      </c>
      <c r="W22" s="31">
        <f t="shared" si="9"/>
        <v>88581</v>
      </c>
      <c r="X22" s="32">
        <f>W22-L22</f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8"/>
        <v>88581</v>
      </c>
      <c r="M23" s="29"/>
      <c r="N23" s="799"/>
      <c r="O23" s="30"/>
      <c r="P23" s="802"/>
      <c r="Q23" s="31">
        <f t="shared" si="10"/>
        <v>0</v>
      </c>
      <c r="R23" s="31"/>
      <c r="S23" s="28">
        <f t="shared" si="3"/>
        <v>0</v>
      </c>
      <c r="T23" s="28">
        <f t="shared" si="4"/>
        <v>0</v>
      </c>
      <c r="U23" s="28">
        <f t="shared" si="5"/>
        <v>0</v>
      </c>
      <c r="V23" s="28">
        <f t="shared" si="6"/>
        <v>0</v>
      </c>
      <c r="W23" s="31">
        <f t="shared" si="9"/>
        <v>88581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8"/>
        <v>88581</v>
      </c>
      <c r="M24" s="29"/>
      <c r="N24" s="799"/>
      <c r="O24" s="30">
        <f t="shared" ref="O24:O29" si="11">+K24/$N$2</f>
        <v>0</v>
      </c>
      <c r="P24" s="802"/>
      <c r="Q24" s="31">
        <f t="shared" si="10"/>
        <v>0</v>
      </c>
      <c r="R24" s="31">
        <v>0</v>
      </c>
      <c r="S24" s="28">
        <f t="shared" si="3"/>
        <v>0</v>
      </c>
      <c r="T24" s="28">
        <f t="shared" si="4"/>
        <v>0</v>
      </c>
      <c r="U24" s="28">
        <f t="shared" si="5"/>
        <v>0</v>
      </c>
      <c r="V24" s="28">
        <f t="shared" si="6"/>
        <v>0</v>
      </c>
      <c r="W24" s="31">
        <f t="shared" si="9"/>
        <v>88581</v>
      </c>
      <c r="X24" s="32">
        <f t="shared" ref="X24:X39" si="12">W24-L24</f>
        <v>0</v>
      </c>
      <c r="Y24" s="74" t="s">
        <v>169</v>
      </c>
      <c r="Z24" s="680">
        <f>+Z18+Z19</f>
        <v>213717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8"/>
        <v>76581</v>
      </c>
      <c r="M25" s="29"/>
      <c r="N25" s="799"/>
      <c r="O25" s="30">
        <f t="shared" si="11"/>
        <v>6.9956160805894979E-2</v>
      </c>
      <c r="P25" s="802"/>
      <c r="Q25" s="31">
        <f t="shared" si="10"/>
        <v>0</v>
      </c>
      <c r="R25" s="31"/>
      <c r="S25" s="28">
        <f t="shared" si="3"/>
        <v>12000</v>
      </c>
      <c r="T25" s="28">
        <f t="shared" si="4"/>
        <v>0</v>
      </c>
      <c r="U25" s="28">
        <f t="shared" si="5"/>
        <v>0</v>
      </c>
      <c r="V25" s="28">
        <f t="shared" si="6"/>
        <v>12000</v>
      </c>
      <c r="W25" s="31">
        <f t="shared" si="9"/>
        <v>76581</v>
      </c>
      <c r="X25" s="32">
        <f t="shared" si="12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8"/>
        <v>42181</v>
      </c>
      <c r="M26" s="86"/>
      <c r="N26" s="800"/>
      <c r="O26" s="87">
        <f t="shared" si="11"/>
        <v>0.20054099431023226</v>
      </c>
      <c r="P26" s="803"/>
      <c r="Q26" s="144">
        <f t="shared" si="10"/>
        <v>0</v>
      </c>
      <c r="R26" s="144">
        <f>32874-34400</f>
        <v>-1526</v>
      </c>
      <c r="S26" s="423">
        <f t="shared" si="3"/>
        <v>0</v>
      </c>
      <c r="T26" s="423">
        <f t="shared" si="4"/>
        <v>0</v>
      </c>
      <c r="U26" s="423">
        <f t="shared" si="5"/>
        <v>32874</v>
      </c>
      <c r="V26" s="423">
        <f t="shared" si="6"/>
        <v>32874</v>
      </c>
      <c r="W26" s="144">
        <f t="shared" si="9"/>
        <v>43707</v>
      </c>
      <c r="X26" s="32">
        <f t="shared" si="12"/>
        <v>1526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8"/>
        <v>42181</v>
      </c>
      <c r="M27" s="95"/>
      <c r="N27" s="804">
        <f>SUM(K27:K49)</f>
        <v>41707</v>
      </c>
      <c r="O27" s="96">
        <f t="shared" si="11"/>
        <v>0</v>
      </c>
      <c r="P27" s="805"/>
      <c r="Q27" s="97">
        <f t="shared" si="10"/>
        <v>0</v>
      </c>
      <c r="R27" s="157"/>
      <c r="S27" s="422">
        <f t="shared" si="3"/>
        <v>0</v>
      </c>
      <c r="T27" s="422">
        <f t="shared" si="4"/>
        <v>0</v>
      </c>
      <c r="U27" s="422">
        <f t="shared" si="5"/>
        <v>0</v>
      </c>
      <c r="V27" s="422">
        <f t="shared" si="6"/>
        <v>0</v>
      </c>
      <c r="W27" s="97">
        <f t="shared" si="9"/>
        <v>43707</v>
      </c>
      <c r="X27" s="32">
        <f t="shared" si="12"/>
        <v>1526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8"/>
        <v>42181</v>
      </c>
      <c r="M28" s="29"/>
      <c r="N28" s="799"/>
      <c r="O28" s="30">
        <f t="shared" si="11"/>
        <v>0</v>
      </c>
      <c r="P28" s="802"/>
      <c r="Q28" s="31">
        <f t="shared" si="10"/>
        <v>0</v>
      </c>
      <c r="R28" s="31"/>
      <c r="S28" s="28">
        <f t="shared" si="3"/>
        <v>0</v>
      </c>
      <c r="T28" s="28">
        <f t="shared" si="4"/>
        <v>0</v>
      </c>
      <c r="U28" s="28">
        <f t="shared" si="5"/>
        <v>0</v>
      </c>
      <c r="V28" s="28">
        <f t="shared" si="6"/>
        <v>0</v>
      </c>
      <c r="W28" s="31">
        <f t="shared" si="9"/>
        <v>43707</v>
      </c>
      <c r="X28" s="32">
        <f t="shared" si="12"/>
        <v>1526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8"/>
        <v>42181</v>
      </c>
      <c r="M29" s="29"/>
      <c r="N29" s="799"/>
      <c r="O29" s="30">
        <f t="shared" si="11"/>
        <v>0</v>
      </c>
      <c r="P29" s="802"/>
      <c r="Q29" s="31">
        <f t="shared" si="10"/>
        <v>0</v>
      </c>
      <c r="R29" s="31"/>
      <c r="S29" s="28">
        <f t="shared" si="3"/>
        <v>0</v>
      </c>
      <c r="T29" s="28">
        <f t="shared" si="4"/>
        <v>0</v>
      </c>
      <c r="U29" s="28">
        <f t="shared" si="5"/>
        <v>0</v>
      </c>
      <c r="V29" s="28">
        <f t="shared" si="6"/>
        <v>0</v>
      </c>
      <c r="W29" s="31">
        <f t="shared" si="9"/>
        <v>43707</v>
      </c>
      <c r="X29" s="32">
        <f t="shared" si="12"/>
        <v>1526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8"/>
        <v>42181</v>
      </c>
      <c r="M30" s="29"/>
      <c r="N30" s="799"/>
      <c r="O30" s="30">
        <f t="shared" ref="O30:O39" si="13">+K30/$N$27</f>
        <v>0</v>
      </c>
      <c r="P30" s="802"/>
      <c r="Q30" s="31">
        <f t="shared" ref="Q30:Q39" si="14">IF($P$30=0,0,(-($P$30*O30)+K30)-K30)</f>
        <v>0</v>
      </c>
      <c r="R30" s="31"/>
      <c r="S30" s="28">
        <f t="shared" si="3"/>
        <v>0</v>
      </c>
      <c r="T30" s="28">
        <f t="shared" si="4"/>
        <v>0</v>
      </c>
      <c r="U30" s="28">
        <f t="shared" si="5"/>
        <v>0</v>
      </c>
      <c r="V30" s="28">
        <f t="shared" si="6"/>
        <v>0</v>
      </c>
      <c r="W30" s="31">
        <f t="shared" si="9"/>
        <v>43707</v>
      </c>
      <c r="X30" s="32">
        <f t="shared" si="12"/>
        <v>1526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8"/>
        <v>42181</v>
      </c>
      <c r="M31" s="29"/>
      <c r="N31" s="799"/>
      <c r="O31" s="30">
        <f t="shared" si="13"/>
        <v>0</v>
      </c>
      <c r="P31" s="802"/>
      <c r="Q31" s="31">
        <f t="shared" si="14"/>
        <v>0</v>
      </c>
      <c r="R31" s="31"/>
      <c r="S31" s="28">
        <f t="shared" si="3"/>
        <v>0</v>
      </c>
      <c r="T31" s="28">
        <f t="shared" si="4"/>
        <v>0</v>
      </c>
      <c r="U31" s="28">
        <f t="shared" si="5"/>
        <v>0</v>
      </c>
      <c r="V31" s="28">
        <f t="shared" si="6"/>
        <v>0</v>
      </c>
      <c r="W31" s="31">
        <f t="shared" si="9"/>
        <v>43707</v>
      </c>
      <c r="X31" s="32">
        <f t="shared" si="12"/>
        <v>1526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8"/>
        <v>42181</v>
      </c>
      <c r="M32" s="29"/>
      <c r="N32" s="799"/>
      <c r="O32" s="30">
        <f t="shared" si="13"/>
        <v>0</v>
      </c>
      <c r="P32" s="802"/>
      <c r="Q32" s="31">
        <f t="shared" si="14"/>
        <v>0</v>
      </c>
      <c r="R32" s="31"/>
      <c r="S32" s="28">
        <f t="shared" si="3"/>
        <v>0</v>
      </c>
      <c r="T32" s="28">
        <f t="shared" si="4"/>
        <v>0</v>
      </c>
      <c r="U32" s="28">
        <f t="shared" si="5"/>
        <v>0</v>
      </c>
      <c r="V32" s="28">
        <f t="shared" si="6"/>
        <v>0</v>
      </c>
      <c r="W32" s="31">
        <f t="shared" si="9"/>
        <v>43707</v>
      </c>
      <c r="X32" s="32">
        <f t="shared" si="12"/>
        <v>1526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8"/>
        <v>42181</v>
      </c>
      <c r="M33" s="29"/>
      <c r="N33" s="799"/>
      <c r="O33" s="30">
        <f t="shared" si="13"/>
        <v>0</v>
      </c>
      <c r="P33" s="802"/>
      <c r="Q33" s="31">
        <f t="shared" si="14"/>
        <v>0</v>
      </c>
      <c r="R33" s="31"/>
      <c r="S33" s="28">
        <f t="shared" si="3"/>
        <v>0</v>
      </c>
      <c r="T33" s="28">
        <f t="shared" si="4"/>
        <v>0</v>
      </c>
      <c r="U33" s="28">
        <f t="shared" si="5"/>
        <v>0</v>
      </c>
      <c r="V33" s="28">
        <f t="shared" si="6"/>
        <v>0</v>
      </c>
      <c r="W33" s="31">
        <f t="shared" si="9"/>
        <v>43707</v>
      </c>
      <c r="X33" s="32">
        <f t="shared" si="12"/>
        <v>1526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8"/>
        <v>42181</v>
      </c>
      <c r="M34" s="29"/>
      <c r="N34" s="799"/>
      <c r="O34" s="30">
        <f t="shared" si="13"/>
        <v>0</v>
      </c>
      <c r="P34" s="802"/>
      <c r="Q34" s="31">
        <f t="shared" si="14"/>
        <v>0</v>
      </c>
      <c r="R34" s="31"/>
      <c r="S34" s="28">
        <f t="shared" si="3"/>
        <v>0</v>
      </c>
      <c r="T34" s="28">
        <f t="shared" si="4"/>
        <v>0</v>
      </c>
      <c r="U34" s="28">
        <f t="shared" si="5"/>
        <v>0</v>
      </c>
      <c r="V34" s="28">
        <f t="shared" si="6"/>
        <v>0</v>
      </c>
      <c r="W34" s="31">
        <f t="shared" si="9"/>
        <v>43707</v>
      </c>
      <c r="X34" s="32">
        <f t="shared" si="12"/>
        <v>1526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8"/>
        <v>42181</v>
      </c>
      <c r="M35" s="29"/>
      <c r="N35" s="799"/>
      <c r="O35" s="30">
        <f t="shared" si="13"/>
        <v>0</v>
      </c>
      <c r="P35" s="802"/>
      <c r="Q35" s="31">
        <f t="shared" si="14"/>
        <v>0</v>
      </c>
      <c r="R35" s="31"/>
      <c r="S35" s="28">
        <f t="shared" si="3"/>
        <v>0</v>
      </c>
      <c r="T35" s="28">
        <f t="shared" si="4"/>
        <v>0</v>
      </c>
      <c r="U35" s="28">
        <f t="shared" si="5"/>
        <v>0</v>
      </c>
      <c r="V35" s="28">
        <f t="shared" si="6"/>
        <v>0</v>
      </c>
      <c r="W35" s="31">
        <f t="shared" si="9"/>
        <v>43707</v>
      </c>
      <c r="X35" s="32">
        <f t="shared" si="12"/>
        <v>1526</v>
      </c>
      <c r="Y35" s="117" t="s">
        <v>56</v>
      </c>
      <c r="Z35" s="113">
        <f>Z34*43%</f>
        <v>34400</v>
      </c>
      <c r="AA35" s="113">
        <f>AD4-Z35</f>
        <v>-1526</v>
      </c>
      <c r="AB35" s="113">
        <f>Z35+AA35</f>
        <v>32874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8"/>
        <v>42181</v>
      </c>
      <c r="M36" s="29"/>
      <c r="N36" s="799"/>
      <c r="O36" s="30">
        <f t="shared" si="13"/>
        <v>0</v>
      </c>
      <c r="P36" s="802"/>
      <c r="Q36" s="31">
        <f t="shared" si="14"/>
        <v>0</v>
      </c>
      <c r="R36" s="31"/>
      <c r="S36" s="28">
        <f t="shared" si="3"/>
        <v>0</v>
      </c>
      <c r="T36" s="28">
        <f t="shared" si="4"/>
        <v>0</v>
      </c>
      <c r="U36" s="28">
        <f t="shared" si="5"/>
        <v>0</v>
      </c>
      <c r="V36" s="28">
        <f t="shared" si="6"/>
        <v>0</v>
      </c>
      <c r="W36" s="31">
        <f t="shared" si="9"/>
        <v>43707</v>
      </c>
      <c r="X36" s="32">
        <f t="shared" si="12"/>
        <v>1526</v>
      </c>
      <c r="Y36" s="117" t="s">
        <v>60</v>
      </c>
      <c r="Z36" s="113">
        <f>Z34*57%</f>
        <v>45599.999999999993</v>
      </c>
      <c r="AA36" s="113">
        <f>AD3-Z36</f>
        <v>1526.0000000000073</v>
      </c>
      <c r="AB36" s="113">
        <f>Z36+AA36</f>
        <v>47126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8"/>
        <v>42181</v>
      </c>
      <c r="M37" s="29"/>
      <c r="N37" s="799"/>
      <c r="O37" s="30">
        <f t="shared" si="13"/>
        <v>0</v>
      </c>
      <c r="P37" s="802"/>
      <c r="Q37" s="31">
        <f t="shared" si="14"/>
        <v>0</v>
      </c>
      <c r="R37" s="31"/>
      <c r="S37" s="28">
        <f t="shared" si="3"/>
        <v>0</v>
      </c>
      <c r="T37" s="28">
        <f t="shared" si="4"/>
        <v>0</v>
      </c>
      <c r="U37" s="28">
        <f t="shared" si="5"/>
        <v>0</v>
      </c>
      <c r="V37" s="28">
        <f t="shared" si="6"/>
        <v>0</v>
      </c>
      <c r="W37" s="31">
        <f t="shared" si="9"/>
        <v>43707</v>
      </c>
      <c r="X37" s="32">
        <f t="shared" si="12"/>
        <v>1526</v>
      </c>
      <c r="Y37" s="117" t="s">
        <v>94</v>
      </c>
      <c r="Z37" s="113">
        <f>+Z35+Z36</f>
        <v>80000</v>
      </c>
      <c r="AA37" s="113">
        <f>SUM(AA35:AA36)</f>
        <v>7.2759576141834259E-12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11207</v>
      </c>
      <c r="I38" s="518"/>
      <c r="J38" s="26"/>
      <c r="K38" s="27">
        <f t="shared" si="0"/>
        <v>11207</v>
      </c>
      <c r="L38" s="28">
        <f t="shared" si="8"/>
        <v>30974</v>
      </c>
      <c r="M38" s="29"/>
      <c r="N38" s="799"/>
      <c r="O38" s="30">
        <f t="shared" si="13"/>
        <v>0.26870789076174262</v>
      </c>
      <c r="P38" s="802"/>
      <c r="Q38" s="31">
        <f t="shared" si="14"/>
        <v>0</v>
      </c>
      <c r="R38" s="31"/>
      <c r="S38" s="28">
        <f t="shared" si="3"/>
        <v>11207</v>
      </c>
      <c r="T38" s="28">
        <f t="shared" si="4"/>
        <v>0</v>
      </c>
      <c r="U38" s="28">
        <f t="shared" si="5"/>
        <v>0</v>
      </c>
      <c r="V38" s="28">
        <f t="shared" si="6"/>
        <v>11207</v>
      </c>
      <c r="W38" s="31">
        <f t="shared" si="9"/>
        <v>32500</v>
      </c>
      <c r="X38" s="32">
        <f t="shared" si="12"/>
        <v>1526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 t="shared" si="8"/>
        <v>30974</v>
      </c>
      <c r="M39" s="29"/>
      <c r="N39" s="799"/>
      <c r="O39" s="30">
        <f t="shared" si="13"/>
        <v>0</v>
      </c>
      <c r="P39" s="802"/>
      <c r="Q39" s="31">
        <f t="shared" si="14"/>
        <v>0</v>
      </c>
      <c r="R39" s="31"/>
      <c r="S39" s="28">
        <f t="shared" si="3"/>
        <v>0</v>
      </c>
      <c r="T39" s="28">
        <f t="shared" si="4"/>
        <v>0</v>
      </c>
      <c r="U39" s="28">
        <f t="shared" si="5"/>
        <v>0</v>
      </c>
      <c r="V39" s="28">
        <f t="shared" si="6"/>
        <v>0</v>
      </c>
      <c r="W39" s="31">
        <f t="shared" si="9"/>
        <v>32500</v>
      </c>
      <c r="X39" s="32">
        <f t="shared" si="12"/>
        <v>1526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8"/>
        <v>30974</v>
      </c>
      <c r="M40" s="29"/>
      <c r="N40" s="799"/>
      <c r="O40" s="30"/>
      <c r="P40" s="802"/>
      <c r="Q40" s="31"/>
      <c r="R40" s="31"/>
      <c r="S40" s="28">
        <f t="shared" si="3"/>
        <v>0</v>
      </c>
      <c r="T40" s="28">
        <f t="shared" si="4"/>
        <v>0</v>
      </c>
      <c r="U40" s="28">
        <f t="shared" si="5"/>
        <v>0</v>
      </c>
      <c r="V40" s="28">
        <f t="shared" si="6"/>
        <v>0</v>
      </c>
      <c r="W40" s="31">
        <f t="shared" si="9"/>
        <v>32500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75</v>
      </c>
      <c r="G41" s="101" t="s">
        <v>76</v>
      </c>
      <c r="H41" s="518">
        <v>13728</v>
      </c>
      <c r="I41" s="26"/>
      <c r="J41" s="26"/>
      <c r="K41" s="27">
        <f t="shared" si="0"/>
        <v>13728</v>
      </c>
      <c r="L41" s="28">
        <f t="shared" si="8"/>
        <v>17246</v>
      </c>
      <c r="M41" s="29"/>
      <c r="N41" s="799"/>
      <c r="O41" s="30">
        <f t="shared" ref="O41:O47" si="15">+K41/$N$27</f>
        <v>0.32915337952861629</v>
      </c>
      <c r="P41" s="802"/>
      <c r="Q41" s="31">
        <f t="shared" ref="Q41:Q57" si="16">IF($P$30=0,0,(-($P$30*O41)+K41)-K41)</f>
        <v>0</v>
      </c>
      <c r="R41" s="31"/>
      <c r="S41" s="28">
        <f t="shared" si="3"/>
        <v>13728</v>
      </c>
      <c r="T41" s="28">
        <f t="shared" si="4"/>
        <v>0</v>
      </c>
      <c r="U41" s="28">
        <f t="shared" si="5"/>
        <v>0</v>
      </c>
      <c r="V41" s="28">
        <f t="shared" si="6"/>
        <v>13728</v>
      </c>
      <c r="W41" s="31">
        <f t="shared" si="9"/>
        <v>18772</v>
      </c>
      <c r="X41" s="32">
        <f t="shared" ref="X41:X47" si="17">W41-L41</f>
        <v>1526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6772</v>
      </c>
      <c r="I42" s="26"/>
      <c r="J42" s="26"/>
      <c r="K42" s="27">
        <f t="shared" si="0"/>
        <v>6772</v>
      </c>
      <c r="L42" s="28">
        <f t="shared" si="8"/>
        <v>10474</v>
      </c>
      <c r="M42" s="29"/>
      <c r="N42" s="799"/>
      <c r="O42" s="30">
        <f t="shared" si="15"/>
        <v>0.16237082504135997</v>
      </c>
      <c r="P42" s="802"/>
      <c r="Q42" s="31">
        <f t="shared" si="16"/>
        <v>0</v>
      </c>
      <c r="R42" s="31"/>
      <c r="S42" s="28">
        <f t="shared" si="3"/>
        <v>6772</v>
      </c>
      <c r="T42" s="28">
        <f t="shared" si="4"/>
        <v>0</v>
      </c>
      <c r="U42" s="28">
        <f t="shared" si="5"/>
        <v>0</v>
      </c>
      <c r="V42" s="28">
        <f t="shared" si="6"/>
        <v>6772</v>
      </c>
      <c r="W42" s="31">
        <f t="shared" si="9"/>
        <v>12000</v>
      </c>
      <c r="X42" s="32">
        <f t="shared" si="17"/>
        <v>1526</v>
      </c>
      <c r="Y42" s="74" t="s">
        <v>96</v>
      </c>
      <c r="Z42" s="75">
        <v>35500</v>
      </c>
      <c r="AA42" s="129">
        <f>+H7+H8+H17+H18+H19+H22+H32+H33+H43+H44+H45+H53</f>
        <v>28597</v>
      </c>
      <c r="AB42" s="129">
        <f>+I7+I8+I17+I18+I19+I22+I32+I33+I43+I44+I45+I53</f>
        <v>7403</v>
      </c>
      <c r="AC42" s="130">
        <f>+AA42+AB42</f>
        <v>36000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8"/>
        <v>10474</v>
      </c>
      <c r="M43" s="29"/>
      <c r="N43" s="799"/>
      <c r="O43" s="30">
        <f t="shared" si="15"/>
        <v>0</v>
      </c>
      <c r="P43" s="802"/>
      <c r="Q43" s="31">
        <f t="shared" si="16"/>
        <v>0</v>
      </c>
      <c r="R43" s="31"/>
      <c r="S43" s="28">
        <f t="shared" si="3"/>
        <v>0</v>
      </c>
      <c r="T43" s="28">
        <f t="shared" si="4"/>
        <v>0</v>
      </c>
      <c r="U43" s="28">
        <f t="shared" si="5"/>
        <v>0</v>
      </c>
      <c r="V43" s="28">
        <f t="shared" si="6"/>
        <v>0</v>
      </c>
      <c r="W43" s="31">
        <f t="shared" si="9"/>
        <v>12000</v>
      </c>
      <c r="X43" s="32">
        <f t="shared" si="17"/>
        <v>1526</v>
      </c>
      <c r="Y43" s="131" t="s">
        <v>97</v>
      </c>
      <c r="Z43" s="132">
        <v>50000</v>
      </c>
      <c r="AA43" s="133">
        <f>+H10+H11+H25+H35+H36+H47</f>
        <v>45000</v>
      </c>
      <c r="AB43" s="133">
        <f>+I10+I11+I25+I35+I36+I47</f>
        <v>5000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8"/>
        <v>10474</v>
      </c>
      <c r="M44" s="29"/>
      <c r="N44" s="799"/>
      <c r="O44" s="30">
        <f t="shared" si="15"/>
        <v>0</v>
      </c>
      <c r="P44" s="802"/>
      <c r="Q44" s="31">
        <f t="shared" si="16"/>
        <v>0</v>
      </c>
      <c r="R44" s="31"/>
      <c r="S44" s="28">
        <f t="shared" si="3"/>
        <v>0</v>
      </c>
      <c r="T44" s="28">
        <f t="shared" si="4"/>
        <v>0</v>
      </c>
      <c r="U44" s="28">
        <f t="shared" si="5"/>
        <v>0</v>
      </c>
      <c r="V44" s="28">
        <f t="shared" si="6"/>
        <v>0</v>
      </c>
      <c r="W44" s="31">
        <f t="shared" si="9"/>
        <v>12000</v>
      </c>
      <c r="X44" s="32">
        <f t="shared" si="17"/>
        <v>1526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8"/>
        <v>10474</v>
      </c>
      <c r="M45" s="29"/>
      <c r="N45" s="799"/>
      <c r="O45" s="30">
        <f t="shared" si="15"/>
        <v>0</v>
      </c>
      <c r="P45" s="802"/>
      <c r="Q45" s="31">
        <f t="shared" si="16"/>
        <v>0</v>
      </c>
      <c r="R45" s="31"/>
      <c r="S45" s="28">
        <f t="shared" si="3"/>
        <v>0</v>
      </c>
      <c r="T45" s="28">
        <f t="shared" si="4"/>
        <v>0</v>
      </c>
      <c r="U45" s="28">
        <f t="shared" si="5"/>
        <v>0</v>
      </c>
      <c r="V45" s="28">
        <f t="shared" si="6"/>
        <v>0</v>
      </c>
      <c r="W45" s="31">
        <f t="shared" si="9"/>
        <v>12000</v>
      </c>
      <c r="X45" s="32">
        <f t="shared" si="17"/>
        <v>1526</v>
      </c>
      <c r="Y45" s="131" t="s">
        <v>98</v>
      </c>
      <c r="Z45" s="132">
        <v>9600</v>
      </c>
      <c r="AA45" s="133">
        <f>+H12+H13+H37+H38</f>
        <v>20807</v>
      </c>
      <c r="AB45" s="133">
        <f>+I12+I13+I37+I38</f>
        <v>0</v>
      </c>
      <c r="AC45" s="133">
        <f>+AA45+AB45</f>
        <v>20807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 t="shared" si="8"/>
        <v>474</v>
      </c>
      <c r="M46" s="29"/>
      <c r="N46" s="799"/>
      <c r="O46" s="30">
        <f t="shared" si="15"/>
        <v>0.2397679046682811</v>
      </c>
      <c r="P46" s="802"/>
      <c r="Q46" s="31">
        <f t="shared" si="16"/>
        <v>0</v>
      </c>
      <c r="R46" s="31">
        <v>0</v>
      </c>
      <c r="S46" s="28">
        <f t="shared" si="3"/>
        <v>10000</v>
      </c>
      <c r="T46" s="28">
        <f t="shared" si="4"/>
        <v>0</v>
      </c>
      <c r="U46" s="28">
        <f t="shared" si="5"/>
        <v>0</v>
      </c>
      <c r="V46" s="28">
        <f t="shared" si="6"/>
        <v>10000</v>
      </c>
      <c r="W46" s="31">
        <f t="shared" si="9"/>
        <v>2000</v>
      </c>
      <c r="X46" s="32">
        <f t="shared" si="17"/>
        <v>1526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8"/>
        <v>474</v>
      </c>
      <c r="M47" s="29"/>
      <c r="N47" s="799"/>
      <c r="O47" s="30">
        <f t="shared" si="15"/>
        <v>0</v>
      </c>
      <c r="P47" s="802"/>
      <c r="Q47" s="31">
        <f t="shared" si="16"/>
        <v>0</v>
      </c>
      <c r="R47" s="31"/>
      <c r="S47" s="28">
        <f t="shared" si="3"/>
        <v>0</v>
      </c>
      <c r="T47" s="28">
        <f t="shared" si="4"/>
        <v>0</v>
      </c>
      <c r="U47" s="28">
        <f t="shared" si="5"/>
        <v>0</v>
      </c>
      <c r="V47" s="28">
        <f t="shared" si="6"/>
        <v>0</v>
      </c>
      <c r="W47" s="31">
        <f t="shared" si="9"/>
        <v>2000</v>
      </c>
      <c r="X47" s="32">
        <f t="shared" si="17"/>
        <v>1526</v>
      </c>
      <c r="Y47" s="57">
        <v>20000</v>
      </c>
      <c r="Z47" s="89">
        <v>4586</v>
      </c>
      <c r="AA47" s="35"/>
      <c r="AB47" s="57">
        <f>57000-AA60</f>
        <v>9874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8"/>
        <v>474</v>
      </c>
      <c r="M48" s="136"/>
      <c r="N48" s="799"/>
      <c r="O48" s="137"/>
      <c r="P48" s="802"/>
      <c r="Q48" s="31">
        <f t="shared" si="16"/>
        <v>0</v>
      </c>
      <c r="R48" s="138"/>
      <c r="S48" s="28">
        <f t="shared" si="3"/>
        <v>0</v>
      </c>
      <c r="T48" s="28">
        <f t="shared" si="4"/>
        <v>0</v>
      </c>
      <c r="U48" s="28">
        <f t="shared" si="5"/>
        <v>0</v>
      </c>
      <c r="V48" s="28">
        <f t="shared" si="6"/>
        <v>0</v>
      </c>
      <c r="W48" s="31">
        <f t="shared" si="9"/>
        <v>2000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8"/>
        <v>474</v>
      </c>
      <c r="M49" s="86"/>
      <c r="N49" s="800"/>
      <c r="O49" s="87">
        <f>+K49/$N$27</f>
        <v>0</v>
      </c>
      <c r="P49" s="803"/>
      <c r="Q49" s="144">
        <f t="shared" si="16"/>
        <v>0</v>
      </c>
      <c r="R49" s="144"/>
      <c r="S49" s="423">
        <f t="shared" si="3"/>
        <v>0</v>
      </c>
      <c r="T49" s="423">
        <f t="shared" si="4"/>
        <v>0</v>
      </c>
      <c r="U49" s="423">
        <f t="shared" si="5"/>
        <v>0</v>
      </c>
      <c r="V49" s="423">
        <f t="shared" si="6"/>
        <v>0</v>
      </c>
      <c r="W49" s="144">
        <f t="shared" si="9"/>
        <v>2000</v>
      </c>
      <c r="X49" s="32">
        <f>W49-L49</f>
        <v>1526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 t="shared" si="8"/>
        <v>474</v>
      </c>
      <c r="M50" s="95"/>
      <c r="N50" s="804">
        <f>SUM(K50:K55)</f>
        <v>2000</v>
      </c>
      <c r="O50" s="96">
        <f>+K50/$N$27</f>
        <v>0</v>
      </c>
      <c r="P50" s="805"/>
      <c r="Q50" s="138">
        <f t="shared" si="16"/>
        <v>0</v>
      </c>
      <c r="R50" s="157">
        <f>K50*$P$50/SUM($K$50:$K$55)-K50</f>
        <v>0</v>
      </c>
      <c r="S50" s="422">
        <f t="shared" si="3"/>
        <v>0</v>
      </c>
      <c r="T50" s="422">
        <f t="shared" si="4"/>
        <v>0</v>
      </c>
      <c r="U50" s="422">
        <f t="shared" si="5"/>
        <v>0</v>
      </c>
      <c r="V50" s="422">
        <f t="shared" si="6"/>
        <v>0</v>
      </c>
      <c r="W50" s="97">
        <f t="shared" si="9"/>
        <v>2000</v>
      </c>
      <c r="X50" s="32">
        <f>W50-L50</f>
        <v>1526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  <c r="AK50" s="51">
        <v>32700</v>
      </c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0"/>
        <v>0</v>
      </c>
      <c r="L51" s="28">
        <f t="shared" si="8"/>
        <v>474</v>
      </c>
      <c r="M51" s="234"/>
      <c r="N51" s="799"/>
      <c r="O51" s="184"/>
      <c r="P51" s="802"/>
      <c r="Q51" s="138">
        <f t="shared" si="16"/>
        <v>0</v>
      </c>
      <c r="R51" s="31"/>
      <c r="S51" s="422">
        <f t="shared" si="3"/>
        <v>0</v>
      </c>
      <c r="T51" s="28">
        <f t="shared" si="4"/>
        <v>0</v>
      </c>
      <c r="U51" s="28">
        <f t="shared" si="5"/>
        <v>0</v>
      </c>
      <c r="V51" s="28">
        <f t="shared" si="6"/>
        <v>0</v>
      </c>
      <c r="W51" s="31">
        <f t="shared" si="9"/>
        <v>2000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  <c r="AJ51" s="20">
        <f>AL51*(24-10)/24</f>
        <v>55197</v>
      </c>
      <c r="AK51" s="50">
        <f>AD58-AK50</f>
        <v>55197</v>
      </c>
      <c r="AL51" s="50">
        <f>AK51/(24-10)*24</f>
        <v>94623.42857142858</v>
      </c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8"/>
        <v>474</v>
      </c>
      <c r="M52" s="234"/>
      <c r="N52" s="799"/>
      <c r="O52" s="184"/>
      <c r="P52" s="802"/>
      <c r="Q52" s="31">
        <f t="shared" si="16"/>
        <v>0</v>
      </c>
      <c r="R52" s="97">
        <f>K52*$P$50/SUM($K$50:$K$55)-K52</f>
        <v>0</v>
      </c>
      <c r="S52" s="28">
        <f t="shared" si="3"/>
        <v>0</v>
      </c>
      <c r="T52" s="28">
        <f t="shared" si="4"/>
        <v>0</v>
      </c>
      <c r="U52" s="28">
        <f t="shared" si="5"/>
        <v>0</v>
      </c>
      <c r="V52" s="28">
        <f t="shared" si="6"/>
        <v>0</v>
      </c>
      <c r="W52" s="31">
        <f t="shared" si="9"/>
        <v>2000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F52" s="20">
        <f>-14+6</f>
        <v>-8</v>
      </c>
      <c r="AH52" s="19"/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2000</v>
      </c>
      <c r="I53" s="518"/>
      <c r="J53" s="26"/>
      <c r="K53" s="27">
        <f t="shared" si="0"/>
        <v>2000</v>
      </c>
      <c r="L53" s="28">
        <f t="shared" si="8"/>
        <v>-1526</v>
      </c>
      <c r="M53" s="29"/>
      <c r="N53" s="799"/>
      <c r="O53" s="30">
        <f>+K53/$N$27</f>
        <v>4.7953580933656217E-2</v>
      </c>
      <c r="P53" s="802"/>
      <c r="Q53" s="97">
        <f t="shared" si="16"/>
        <v>0</v>
      </c>
      <c r="R53" s="31"/>
      <c r="S53" s="28">
        <f t="shared" si="3"/>
        <v>2000</v>
      </c>
      <c r="T53" s="28">
        <f t="shared" si="4"/>
        <v>0</v>
      </c>
      <c r="U53" s="28">
        <f t="shared" si="5"/>
        <v>0</v>
      </c>
      <c r="V53" s="28">
        <f t="shared" si="6"/>
        <v>2000</v>
      </c>
      <c r="W53" s="31">
        <f t="shared" si="9"/>
        <v>0</v>
      </c>
      <c r="X53" s="32">
        <f>W53-L53</f>
        <v>1526</v>
      </c>
      <c r="Y53" s="80">
        <f>+Y52-15000</f>
        <v>-2513.5</v>
      </c>
      <c r="Z53" s="49">
        <f>+Z60-43000</f>
        <v>-10126</v>
      </c>
      <c r="AD53" s="322"/>
      <c r="AE53" s="153"/>
      <c r="AH53" s="18"/>
      <c r="AK53" s="20">
        <f>297521/24*10</f>
        <v>123967.08333333334</v>
      </c>
      <c r="AL53" s="53">
        <f>AD58</f>
        <v>87897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8"/>
        <v>-1526</v>
      </c>
      <c r="M54" s="29"/>
      <c r="N54" s="799"/>
      <c r="O54" s="30">
        <f>+K54/$N$27</f>
        <v>0</v>
      </c>
      <c r="P54" s="802"/>
      <c r="Q54" s="97">
        <f t="shared" si="16"/>
        <v>0</v>
      </c>
      <c r="R54" s="31">
        <f>K54*$P$50/SUM($K$50:$K$55)-K54</f>
        <v>0</v>
      </c>
      <c r="S54" s="28">
        <f t="shared" si="3"/>
        <v>0</v>
      </c>
      <c r="T54" s="28">
        <f t="shared" si="4"/>
        <v>0</v>
      </c>
      <c r="U54" s="28">
        <f t="shared" si="5"/>
        <v>0</v>
      </c>
      <c r="V54" s="28">
        <f t="shared" si="6"/>
        <v>0</v>
      </c>
      <c r="W54" s="31">
        <f t="shared" si="9"/>
        <v>0</v>
      </c>
      <c r="X54" s="32">
        <f>W54-L54</f>
        <v>1526</v>
      </c>
      <c r="Y54" s="158"/>
      <c r="Z54" s="159"/>
      <c r="AA54" s="160"/>
      <c r="AB54" s="158"/>
      <c r="AC54" s="160"/>
      <c r="AD54" s="161"/>
      <c r="AE54" s="153"/>
      <c r="AH54" s="18"/>
      <c r="AK54" s="20">
        <f>(AD59+AJ59)/24*(24-10)</f>
        <v>196509.05555555556</v>
      </c>
      <c r="AL54" s="53">
        <f>AD59+AJ59</f>
        <v>336872.66666666669</v>
      </c>
    </row>
    <row r="55" spans="1:45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8"/>
        <v>-1526</v>
      </c>
      <c r="M55" s="86"/>
      <c r="N55" s="800"/>
      <c r="O55" s="87">
        <f>+K55/$N$27</f>
        <v>0</v>
      </c>
      <c r="P55" s="803"/>
      <c r="Q55" s="97">
        <f t="shared" si="16"/>
        <v>0</v>
      </c>
      <c r="R55" s="31"/>
      <c r="S55" s="423">
        <f t="shared" si="3"/>
        <v>0</v>
      </c>
      <c r="T55" s="28">
        <f t="shared" si="4"/>
        <v>0</v>
      </c>
      <c r="U55" s="423">
        <f t="shared" si="5"/>
        <v>0</v>
      </c>
      <c r="V55" s="423">
        <f t="shared" si="6"/>
        <v>0</v>
      </c>
      <c r="W55" s="144">
        <f t="shared" si="9"/>
        <v>0</v>
      </c>
      <c r="X55" s="119">
        <f>W55-L55</f>
        <v>1526</v>
      </c>
      <c r="Y55" s="807">
        <f ca="1">Z8</f>
        <v>41937</v>
      </c>
      <c r="Z55" s="808"/>
      <c r="AA55" s="808"/>
      <c r="AB55" s="808"/>
      <c r="AC55" s="808"/>
      <c r="AD55" s="809"/>
      <c r="AE55" s="20" t="s">
        <v>319</v>
      </c>
      <c r="AK55" s="20">
        <f>SUM(AK53:AK54)</f>
        <v>320476.13888888888</v>
      </c>
      <c r="AL55" s="53">
        <f>AD60</f>
        <v>80000</v>
      </c>
      <c r="AM55" s="507"/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8"/>
        <v>-1526</v>
      </c>
      <c r="M56" s="804"/>
      <c r="N56" s="804">
        <f>SUM(K56:K80)</f>
        <v>0</v>
      </c>
      <c r="O56" s="96">
        <f>+K56/$N$27</f>
        <v>0</v>
      </c>
      <c r="P56" s="172"/>
      <c r="Q56" s="157">
        <f t="shared" si="16"/>
        <v>0</v>
      </c>
      <c r="R56" s="157">
        <v>0</v>
      </c>
      <c r="S56" s="422">
        <f t="shared" si="3"/>
        <v>0</v>
      </c>
      <c r="T56" s="157">
        <f t="shared" si="4"/>
        <v>0</v>
      </c>
      <c r="U56" s="422">
        <f t="shared" si="5"/>
        <v>0</v>
      </c>
      <c r="V56" s="422">
        <f t="shared" si="6"/>
        <v>0</v>
      </c>
      <c r="W56" s="97">
        <f t="shared" si="9"/>
        <v>0</v>
      </c>
      <c r="X56" s="119">
        <f>W56-L56</f>
        <v>1526</v>
      </c>
      <c r="Y56" s="811" t="s">
        <v>186</v>
      </c>
      <c r="Z56" s="812"/>
      <c r="AA56" s="812"/>
      <c r="AB56" s="812"/>
      <c r="AC56" s="812"/>
      <c r="AD56" s="813"/>
      <c r="AE56" s="13">
        <v>18700</v>
      </c>
      <c r="AF56" s="17">
        <f>AG3</f>
        <v>6049</v>
      </c>
      <c r="AG56" s="20">
        <f>AF56/24*(24-9)</f>
        <v>3780.625</v>
      </c>
      <c r="AH56" s="53">
        <f>AG56+AC3</f>
        <v>173814.625</v>
      </c>
      <c r="AK56" s="53">
        <f>AD59-AK55</f>
        <v>2594.861111111124</v>
      </c>
      <c r="AL56" s="53">
        <f>SUM(AL53:AL55)</f>
        <v>504769.66666666669</v>
      </c>
      <c r="AM56" s="50">
        <f>AL55+AL54+AL51</f>
        <v>511496.09523809527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8"/>
        <v>-1526</v>
      </c>
      <c r="M57" s="800"/>
      <c r="N57" s="800"/>
      <c r="O57" s="87" t="e">
        <f t="shared" ref="O57:O80" si="18">+K57/$N$56</f>
        <v>#DIV/0!</v>
      </c>
      <c r="P57" s="328"/>
      <c r="Q57" s="448">
        <f t="shared" si="16"/>
        <v>0</v>
      </c>
      <c r="R57" s="144">
        <v>0</v>
      </c>
      <c r="S57" s="423">
        <f t="shared" si="3"/>
        <v>0</v>
      </c>
      <c r="T57" s="423">
        <f t="shared" si="4"/>
        <v>0</v>
      </c>
      <c r="U57" s="423">
        <f t="shared" si="5"/>
        <v>0</v>
      </c>
      <c r="V57" s="423">
        <f t="shared" si="6"/>
        <v>0</v>
      </c>
      <c r="W57" s="144">
        <f t="shared" si="9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/>
      <c r="AG57" s="747"/>
      <c r="AH57" s="514"/>
      <c r="AI57" s="514"/>
      <c r="AJ57" s="53"/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8"/>
        <v>-1526</v>
      </c>
      <c r="M58" s="148"/>
      <c r="N58" s="148"/>
      <c r="O58" s="184" t="e">
        <f t="shared" si="18"/>
        <v>#DIV/0!</v>
      </c>
      <c r="P58" s="171"/>
      <c r="Q58" s="97">
        <f t="shared" ref="Q58:Q81" si="19">IF($P$57=0,0,(-($P$57*O58)+K58)-K58)</f>
        <v>0</v>
      </c>
      <c r="R58" s="97"/>
      <c r="S58" s="422">
        <f t="shared" si="3"/>
        <v>0</v>
      </c>
      <c r="T58" s="422">
        <f t="shared" si="4"/>
        <v>0</v>
      </c>
      <c r="U58" s="422">
        <f t="shared" si="5"/>
        <v>0</v>
      </c>
      <c r="V58" s="422">
        <f t="shared" si="6"/>
        <v>0</v>
      </c>
      <c r="W58" s="97">
        <f t="shared" si="9"/>
        <v>0</v>
      </c>
      <c r="X58" s="408"/>
      <c r="Y58" s="180" t="s">
        <v>7</v>
      </c>
      <c r="Z58" s="181">
        <f>+AB4</f>
        <v>27806</v>
      </c>
      <c r="AA58" s="182">
        <f>+AB3</f>
        <v>60091</v>
      </c>
      <c r="AB58" s="182">
        <f>Z12</f>
        <v>0</v>
      </c>
      <c r="AC58" s="181">
        <f>AB10</f>
        <v>0</v>
      </c>
      <c r="AD58" s="661">
        <f>SUM(Z58:AC58)</f>
        <v>87897</v>
      </c>
      <c r="AE58" s="185">
        <v>102166</v>
      </c>
      <c r="AF58" s="17">
        <f>AE58-AD58</f>
        <v>14269</v>
      </c>
      <c r="AG58" s="17">
        <f>AA58-'Octubre 24'!AA58</f>
        <v>-19450</v>
      </c>
      <c r="AH58" s="53">
        <f>AD58-'Octubre 24'!AD58</f>
        <v>-19359</v>
      </c>
      <c r="AI58" s="50"/>
      <c r="AJ58" s="50"/>
      <c r="AM58" s="50">
        <f>+AL58-AK58</f>
        <v>0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8"/>
        <v>-1526</v>
      </c>
      <c r="M59" s="148"/>
      <c r="N59" s="148"/>
      <c r="O59" s="30" t="e">
        <f t="shared" si="18"/>
        <v>#DIV/0!</v>
      </c>
      <c r="P59" s="171"/>
      <c r="Q59" s="31">
        <f t="shared" si="19"/>
        <v>0</v>
      </c>
      <c r="R59" s="31"/>
      <c r="S59" s="28">
        <f t="shared" si="3"/>
        <v>0</v>
      </c>
      <c r="T59" s="28">
        <f t="shared" si="4"/>
        <v>0</v>
      </c>
      <c r="U59" s="28">
        <f t="shared" si="5"/>
        <v>0</v>
      </c>
      <c r="V59" s="28">
        <f t="shared" si="6"/>
        <v>0</v>
      </c>
      <c r="W59" s="31">
        <f t="shared" si="9"/>
        <v>0</v>
      </c>
      <c r="X59" s="408"/>
      <c r="Y59" s="180" t="s">
        <v>17</v>
      </c>
      <c r="Z59" s="182">
        <f>+AC4</f>
        <v>153037</v>
      </c>
      <c r="AA59" s="182">
        <f>AC3</f>
        <v>170034</v>
      </c>
      <c r="AB59" s="182">
        <f>Z11</f>
        <v>0</v>
      </c>
      <c r="AC59" s="181">
        <v>0</v>
      </c>
      <c r="AD59" s="661">
        <f>SUM(Z59:AC59)</f>
        <v>323071</v>
      </c>
      <c r="AE59" s="185">
        <v>246817</v>
      </c>
      <c r="AF59" s="17">
        <f>AE59-AD59</f>
        <v>-76254</v>
      </c>
      <c r="AG59" s="51"/>
      <c r="AH59" s="19"/>
      <c r="AI59" s="758">
        <f>AA59-'Octubre 24 (2)'!AA59</f>
        <v>23660</v>
      </c>
      <c r="AJ59" s="50">
        <f>AI59/24*(24-10)</f>
        <v>13801.666666666668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8"/>
        <v>-1526</v>
      </c>
      <c r="M60" s="148"/>
      <c r="N60" s="148"/>
      <c r="O60" s="30" t="e">
        <f t="shared" si="18"/>
        <v>#DIV/0!</v>
      </c>
      <c r="P60" s="171"/>
      <c r="Q60" s="31">
        <f t="shared" si="19"/>
        <v>0</v>
      </c>
      <c r="R60" s="31"/>
      <c r="S60" s="28">
        <f t="shared" si="3"/>
        <v>0</v>
      </c>
      <c r="T60" s="28">
        <f t="shared" si="4"/>
        <v>0</v>
      </c>
      <c r="U60" s="28">
        <f t="shared" si="5"/>
        <v>0</v>
      </c>
      <c r="V60" s="28">
        <f t="shared" si="6"/>
        <v>0</v>
      </c>
      <c r="W60" s="31">
        <f t="shared" si="9"/>
        <v>0</v>
      </c>
      <c r="X60" s="408"/>
      <c r="Y60" s="180" t="s">
        <v>112</v>
      </c>
      <c r="Z60" s="181">
        <f>+AD4+AH11</f>
        <v>32874</v>
      </c>
      <c r="AA60" s="182">
        <f>+AD3+AH10</f>
        <v>47126</v>
      </c>
      <c r="AB60" s="191">
        <v>0</v>
      </c>
      <c r="AC60" s="181">
        <v>0</v>
      </c>
      <c r="AD60" s="662">
        <f>SUM(Z60:AC60)</f>
        <v>80000</v>
      </c>
      <c r="AE60" s="185">
        <v>100343</v>
      </c>
      <c r="AF60" s="17">
        <f>AE60-AD60</f>
        <v>20343</v>
      </c>
      <c r="AG60" s="20"/>
      <c r="AH60" s="53"/>
      <c r="AI60" s="20"/>
      <c r="AJ60" s="20"/>
      <c r="AK60" s="20"/>
      <c r="AL60" s="509"/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8"/>
        <v>-1526</v>
      </c>
      <c r="M61" s="148"/>
      <c r="N61" s="148"/>
      <c r="O61" s="30" t="e">
        <f t="shared" si="18"/>
        <v>#DIV/0!</v>
      </c>
      <c r="P61" s="171"/>
      <c r="Q61" s="31">
        <f t="shared" si="19"/>
        <v>0</v>
      </c>
      <c r="R61" s="31"/>
      <c r="S61" s="28">
        <f t="shared" si="3"/>
        <v>0</v>
      </c>
      <c r="T61" s="28">
        <f t="shared" si="4"/>
        <v>0</v>
      </c>
      <c r="U61" s="28">
        <f t="shared" si="5"/>
        <v>0</v>
      </c>
      <c r="V61" s="28">
        <f t="shared" si="6"/>
        <v>0</v>
      </c>
      <c r="W61" s="31">
        <f t="shared" si="9"/>
        <v>0</v>
      </c>
      <c r="X61" s="408"/>
      <c r="Y61" s="193" t="s">
        <v>113</v>
      </c>
      <c r="Z61" s="194">
        <f>SUM(Z58:Z60)</f>
        <v>213717</v>
      </c>
      <c r="AA61" s="194">
        <f>SUM(AA58:AA60)</f>
        <v>277251</v>
      </c>
      <c r="AB61" s="194">
        <f>SUM(AB58:AB60)</f>
        <v>0</v>
      </c>
      <c r="AC61" s="194">
        <f>AB10</f>
        <v>0</v>
      </c>
      <c r="AD61" s="195">
        <f>SUM(AD58:AD60)</f>
        <v>490968</v>
      </c>
      <c r="AE61" s="185">
        <f>AD61-AA68</f>
        <v>-6049.4812190610101</v>
      </c>
      <c r="AF61" s="17">
        <f>SUM(AF58:AF60)</f>
        <v>-41642</v>
      </c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8"/>
        <v>-1526</v>
      </c>
      <c r="M62" s="148"/>
      <c r="N62" s="148"/>
      <c r="O62" s="30" t="e">
        <f t="shared" si="18"/>
        <v>#DIV/0!</v>
      </c>
      <c r="P62" s="171"/>
      <c r="Q62" s="31">
        <f t="shared" si="19"/>
        <v>0</v>
      </c>
      <c r="R62" s="31"/>
      <c r="S62" s="28">
        <f t="shared" si="3"/>
        <v>0</v>
      </c>
      <c r="T62" s="28">
        <f t="shared" si="4"/>
        <v>0</v>
      </c>
      <c r="U62" s="28">
        <f t="shared" si="5"/>
        <v>0</v>
      </c>
      <c r="V62" s="28">
        <f t="shared" si="6"/>
        <v>0</v>
      </c>
      <c r="W62" s="31">
        <f t="shared" si="9"/>
        <v>0</v>
      </c>
      <c r="X62" s="408"/>
      <c r="Y62" s="199" t="s">
        <v>114</v>
      </c>
      <c r="Z62" s="200">
        <f>(Z58/$Z$28+(Z59/$Z$27)+(Z60/$Z$29))</f>
        <v>214314.71071081929</v>
      </c>
      <c r="AA62" s="200">
        <f>(AA58/$Z$28+(AA59/$Z$27)+(AA60/$Z$29))</f>
        <v>278021.95740848355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492336.66811930283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8"/>
        <v>-1526</v>
      </c>
      <c r="M63" s="148"/>
      <c r="N63" s="148"/>
      <c r="O63" s="30" t="e">
        <f t="shared" si="18"/>
        <v>#DIV/0!</v>
      </c>
      <c r="P63" s="171"/>
      <c r="Q63" s="31">
        <f t="shared" si="19"/>
        <v>0</v>
      </c>
      <c r="R63" s="31"/>
      <c r="S63" s="28">
        <f t="shared" si="3"/>
        <v>0</v>
      </c>
      <c r="T63" s="28">
        <f t="shared" si="4"/>
        <v>0</v>
      </c>
      <c r="U63" s="28">
        <f t="shared" si="5"/>
        <v>0</v>
      </c>
      <c r="V63" s="28">
        <f t="shared" si="6"/>
        <v>0</v>
      </c>
      <c r="W63" s="31">
        <f t="shared" si="9"/>
        <v>0</v>
      </c>
      <c r="X63" s="408"/>
      <c r="Y63" s="368" t="s">
        <v>318</v>
      </c>
      <c r="Z63" s="369"/>
      <c r="AA63" s="369"/>
      <c r="AB63" s="369"/>
      <c r="AC63" s="369"/>
      <c r="AD63" s="370"/>
      <c r="AE63" s="185"/>
      <c r="AI63" s="192"/>
      <c r="AJ63" s="192"/>
      <c r="AK63" s="32"/>
      <c r="AL63" s="17"/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8"/>
        <v>-1526</v>
      </c>
      <c r="M64" s="148"/>
      <c r="N64" s="148"/>
      <c r="O64" s="30" t="e">
        <f t="shared" si="18"/>
        <v>#DIV/0!</v>
      </c>
      <c r="P64" s="171"/>
      <c r="Q64" s="31">
        <f t="shared" si="19"/>
        <v>0</v>
      </c>
      <c r="R64" s="31"/>
      <c r="S64" s="28">
        <f t="shared" si="3"/>
        <v>0</v>
      </c>
      <c r="T64" s="28">
        <f t="shared" si="4"/>
        <v>0</v>
      </c>
      <c r="U64" s="28">
        <f t="shared" si="5"/>
        <v>0</v>
      </c>
      <c r="V64" s="28">
        <f t="shared" si="6"/>
        <v>0</v>
      </c>
      <c r="W64" s="31">
        <f t="shared" si="9"/>
        <v>0</v>
      </c>
      <c r="X64" s="408"/>
      <c r="Y64" s="368" t="s">
        <v>317</v>
      </c>
      <c r="Z64" s="369"/>
      <c r="AA64" s="369"/>
      <c r="AB64" s="369"/>
      <c r="AC64" s="369"/>
      <c r="AD64" s="370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8"/>
        <v>-1526</v>
      </c>
      <c r="M65" s="148"/>
      <c r="N65" s="148"/>
      <c r="O65" s="30" t="e">
        <f t="shared" si="18"/>
        <v>#DIV/0!</v>
      </c>
      <c r="P65" s="171"/>
      <c r="Q65" s="31">
        <f t="shared" si="19"/>
        <v>0</v>
      </c>
      <c r="R65" s="31"/>
      <c r="S65" s="28">
        <f t="shared" si="3"/>
        <v>0</v>
      </c>
      <c r="T65" s="28">
        <f t="shared" si="4"/>
        <v>0</v>
      </c>
      <c r="U65" s="28">
        <f t="shared" si="5"/>
        <v>0</v>
      </c>
      <c r="V65" s="28">
        <f t="shared" si="6"/>
        <v>0</v>
      </c>
      <c r="W65" s="31">
        <f t="shared" si="9"/>
        <v>0</v>
      </c>
      <c r="X65" s="408"/>
      <c r="Y65" s="371" t="s">
        <v>115</v>
      </c>
      <c r="Z65" s="484"/>
      <c r="AA65" s="203">
        <v>122289.80560000002</v>
      </c>
      <c r="AB65" s="204"/>
      <c r="AC65" s="204"/>
      <c r="AD65" s="205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ref="K66:K103" si="20">SUM(H66:J66)</f>
        <v>0</v>
      </c>
      <c r="L66" s="28">
        <f t="shared" si="8"/>
        <v>-1526</v>
      </c>
      <c r="M66" s="148"/>
      <c r="N66" s="148"/>
      <c r="O66" s="30" t="e">
        <f t="shared" si="18"/>
        <v>#DIV/0!</v>
      </c>
      <c r="P66" s="171"/>
      <c r="Q66" s="31">
        <f t="shared" si="19"/>
        <v>0</v>
      </c>
      <c r="R66" s="31"/>
      <c r="S66" s="28">
        <f t="shared" ref="S66:S103" si="21">IF(H66&lt;&gt;0,+H66+Q66+R66,0)</f>
        <v>0</v>
      </c>
      <c r="T66" s="28">
        <f t="shared" ref="T66:T103" si="22">IF(I66&lt;&gt;0,+I66+Q66+R66,0)</f>
        <v>0</v>
      </c>
      <c r="U66" s="28">
        <f t="shared" ref="U66:U103" si="23">IF(J66&lt;&gt;0,+J66+Q66+R66,0)</f>
        <v>0</v>
      </c>
      <c r="V66" s="28">
        <f t="shared" ref="V66:V103" si="24">+S66+T66+U66</f>
        <v>0</v>
      </c>
      <c r="W66" s="31">
        <f t="shared" si="9"/>
        <v>0</v>
      </c>
      <c r="X66" s="408"/>
      <c r="Y66" s="814" t="s">
        <v>116</v>
      </c>
      <c r="Z66" s="815"/>
      <c r="AA66" s="203">
        <v>52014.378240000005</v>
      </c>
      <c r="AB66" s="208"/>
      <c r="AC66" s="208"/>
      <c r="AD66" s="209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20"/>
        <v>0</v>
      </c>
      <c r="L67" s="28">
        <f t="shared" ref="L67:L103" si="25">+L66-K67</f>
        <v>-1526</v>
      </c>
      <c r="M67" s="148"/>
      <c r="N67" s="148"/>
      <c r="O67" s="30" t="e">
        <f t="shared" si="18"/>
        <v>#DIV/0!</v>
      </c>
      <c r="P67" s="171"/>
      <c r="Q67" s="31">
        <f t="shared" si="19"/>
        <v>0</v>
      </c>
      <c r="R67" s="31"/>
      <c r="S67" s="28">
        <f t="shared" si="21"/>
        <v>0</v>
      </c>
      <c r="T67" s="28">
        <f t="shared" si="22"/>
        <v>0</v>
      </c>
      <c r="U67" s="28">
        <f t="shared" si="23"/>
        <v>0</v>
      </c>
      <c r="V67" s="28">
        <f t="shared" si="24"/>
        <v>0</v>
      </c>
      <c r="W67" s="31">
        <f t="shared" ref="W67:W103" si="26">+W66-V67</f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20"/>
        <v>0</v>
      </c>
      <c r="L68" s="28">
        <f t="shared" si="25"/>
        <v>-1526</v>
      </c>
      <c r="M68" s="148"/>
      <c r="N68" s="148"/>
      <c r="O68" s="30" t="e">
        <f t="shared" si="18"/>
        <v>#DIV/0!</v>
      </c>
      <c r="P68" s="171"/>
      <c r="Q68" s="31">
        <f t="shared" si="19"/>
        <v>0</v>
      </c>
      <c r="R68" s="31"/>
      <c r="S68" s="28">
        <f t="shared" si="21"/>
        <v>0</v>
      </c>
      <c r="T68" s="28">
        <f t="shared" si="22"/>
        <v>0</v>
      </c>
      <c r="U68" s="28">
        <f t="shared" si="23"/>
        <v>0</v>
      </c>
      <c r="V68" s="28">
        <f t="shared" si="24"/>
        <v>0</v>
      </c>
      <c r="W68" s="31">
        <f t="shared" si="26"/>
        <v>0</v>
      </c>
      <c r="X68" s="211"/>
      <c r="Y68" s="814" t="s">
        <v>188</v>
      </c>
      <c r="Z68" s="815"/>
      <c r="AA68" s="207">
        <f>Z9*Z30+AC61</f>
        <v>497017.48121906101</v>
      </c>
      <c r="AB68" s="204"/>
      <c r="AC68" s="204"/>
      <c r="AD68" s="205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20"/>
        <v>0</v>
      </c>
      <c r="L69" s="28">
        <f t="shared" si="25"/>
        <v>-1526</v>
      </c>
      <c r="M69" s="148"/>
      <c r="N69" s="148"/>
      <c r="O69" s="30" t="e">
        <f t="shared" si="18"/>
        <v>#DIV/0!</v>
      </c>
      <c r="P69" s="171"/>
      <c r="Q69" s="31">
        <f t="shared" si="19"/>
        <v>0</v>
      </c>
      <c r="R69" s="31"/>
      <c r="S69" s="28">
        <f t="shared" si="21"/>
        <v>0</v>
      </c>
      <c r="T69" s="28">
        <f t="shared" si="22"/>
        <v>0</v>
      </c>
      <c r="U69" s="28">
        <f t="shared" si="23"/>
        <v>0</v>
      </c>
      <c r="V69" s="28">
        <f t="shared" si="24"/>
        <v>0</v>
      </c>
      <c r="W69" s="31">
        <f t="shared" si="26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20"/>
        <v>0</v>
      </c>
      <c r="L70" s="28">
        <f t="shared" si="25"/>
        <v>-1526</v>
      </c>
      <c r="M70" s="148"/>
      <c r="N70" s="148"/>
      <c r="O70" s="30" t="e">
        <f t="shared" si="18"/>
        <v>#DIV/0!</v>
      </c>
      <c r="P70" s="171"/>
      <c r="Q70" s="31">
        <f t="shared" si="19"/>
        <v>0</v>
      </c>
      <c r="R70" s="31"/>
      <c r="S70" s="28">
        <f t="shared" si="21"/>
        <v>0</v>
      </c>
      <c r="T70" s="28">
        <f t="shared" si="22"/>
        <v>0</v>
      </c>
      <c r="U70" s="28">
        <f t="shared" si="23"/>
        <v>0</v>
      </c>
      <c r="V70" s="28">
        <f t="shared" si="24"/>
        <v>0</v>
      </c>
      <c r="W70" s="31">
        <f t="shared" si="26"/>
        <v>0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20"/>
        <v>0</v>
      </c>
      <c r="L71" s="28">
        <f t="shared" si="25"/>
        <v>-1526</v>
      </c>
      <c r="M71" s="148"/>
      <c r="N71" s="148"/>
      <c r="O71" s="30" t="e">
        <f t="shared" si="18"/>
        <v>#DIV/0!</v>
      </c>
      <c r="P71" s="171"/>
      <c r="Q71" s="31">
        <f t="shared" si="19"/>
        <v>0</v>
      </c>
      <c r="R71" s="31"/>
      <c r="S71" s="28">
        <f t="shared" si="21"/>
        <v>0</v>
      </c>
      <c r="T71" s="28">
        <f t="shared" si="22"/>
        <v>0</v>
      </c>
      <c r="U71" s="28">
        <f t="shared" si="23"/>
        <v>0</v>
      </c>
      <c r="V71" s="28">
        <f t="shared" si="24"/>
        <v>0</v>
      </c>
      <c r="W71" s="31">
        <f t="shared" si="26"/>
        <v>0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20"/>
        <v>0</v>
      </c>
      <c r="L72" s="28">
        <f t="shared" si="25"/>
        <v>-1526</v>
      </c>
      <c r="M72" s="148"/>
      <c r="N72" s="148"/>
      <c r="O72" s="30" t="e">
        <f t="shared" si="18"/>
        <v>#DIV/0!</v>
      </c>
      <c r="P72" s="171"/>
      <c r="Q72" s="31">
        <f t="shared" si="19"/>
        <v>0</v>
      </c>
      <c r="R72" s="31"/>
      <c r="S72" s="28">
        <f t="shared" si="21"/>
        <v>0</v>
      </c>
      <c r="T72" s="28">
        <f t="shared" si="22"/>
        <v>0</v>
      </c>
      <c r="U72" s="28">
        <f t="shared" si="23"/>
        <v>0</v>
      </c>
      <c r="V72" s="28">
        <f t="shared" si="24"/>
        <v>0</v>
      </c>
      <c r="W72" s="31">
        <f t="shared" si="26"/>
        <v>0</v>
      </c>
      <c r="X72" s="211"/>
      <c r="Y72" s="214" t="s">
        <v>47</v>
      </c>
      <c r="Z72" s="215">
        <f ca="1">Z8</f>
        <v>41937</v>
      </c>
      <c r="AA72" s="818" t="s">
        <v>118</v>
      </c>
      <c r="AB72" s="818"/>
      <c r="AC72" s="818"/>
      <c r="AD72" s="216">
        <v>15.75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20"/>
        <v>0</v>
      </c>
      <c r="L73" s="28">
        <f t="shared" si="25"/>
        <v>-1526</v>
      </c>
      <c r="M73" s="148"/>
      <c r="N73" s="148"/>
      <c r="O73" s="30" t="e">
        <f t="shared" si="18"/>
        <v>#DIV/0!</v>
      </c>
      <c r="P73" s="171"/>
      <c r="Q73" s="31">
        <f t="shared" si="19"/>
        <v>0</v>
      </c>
      <c r="R73" s="31"/>
      <c r="S73" s="28">
        <f t="shared" si="21"/>
        <v>0</v>
      </c>
      <c r="T73" s="28">
        <f t="shared" si="22"/>
        <v>0</v>
      </c>
      <c r="U73" s="28">
        <f t="shared" si="23"/>
        <v>0</v>
      </c>
      <c r="V73" s="28">
        <f t="shared" si="24"/>
        <v>0</v>
      </c>
      <c r="W73" s="31">
        <f t="shared" si="26"/>
        <v>0</v>
      </c>
      <c r="X73" s="211"/>
      <c r="Y73" s="214" t="s">
        <v>119</v>
      </c>
      <c r="Z73" s="480">
        <f>AD72</f>
        <v>15.75</v>
      </c>
      <c r="AA73" s="760" t="s">
        <v>120</v>
      </c>
      <c r="AB73" s="760"/>
      <c r="AC73" s="760"/>
      <c r="AD73" s="219">
        <f>24-AD72</f>
        <v>8.25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si="20"/>
        <v>0</v>
      </c>
      <c r="L74" s="28">
        <f t="shared" si="25"/>
        <v>-1526</v>
      </c>
      <c r="M74" s="148"/>
      <c r="N74" s="148"/>
      <c r="O74" s="30" t="e">
        <f t="shared" si="18"/>
        <v>#DIV/0!</v>
      </c>
      <c r="P74" s="171"/>
      <c r="Q74" s="31">
        <f t="shared" si="19"/>
        <v>0</v>
      </c>
      <c r="R74" s="31"/>
      <c r="S74" s="28">
        <f t="shared" si="21"/>
        <v>0</v>
      </c>
      <c r="T74" s="28">
        <f t="shared" si="22"/>
        <v>0</v>
      </c>
      <c r="U74" s="28">
        <f t="shared" si="23"/>
        <v>0</v>
      </c>
      <c r="V74" s="28">
        <f t="shared" si="24"/>
        <v>0</v>
      </c>
      <c r="W74" s="31">
        <f t="shared" si="26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59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0"/>
        <v>0</v>
      </c>
      <c r="L75" s="28">
        <f t="shared" si="25"/>
        <v>-1526</v>
      </c>
      <c r="M75" s="148"/>
      <c r="N75" s="148"/>
      <c r="O75" s="30" t="e">
        <f t="shared" si="18"/>
        <v>#DIV/0!</v>
      </c>
      <c r="P75" s="171"/>
      <c r="Q75" s="31">
        <f t="shared" si="19"/>
        <v>0</v>
      </c>
      <c r="R75" s="31"/>
      <c r="S75" s="28">
        <f t="shared" si="21"/>
        <v>0</v>
      </c>
      <c r="T75" s="28">
        <f t="shared" si="22"/>
        <v>0</v>
      </c>
      <c r="U75" s="28">
        <f t="shared" si="23"/>
        <v>0</v>
      </c>
      <c r="V75" s="28">
        <f t="shared" si="24"/>
        <v>0</v>
      </c>
      <c r="W75" s="31">
        <f t="shared" si="26"/>
        <v>0</v>
      </c>
      <c r="X75" s="211"/>
      <c r="Y75" s="759" t="s">
        <v>121</v>
      </c>
      <c r="Z75" s="759" t="s">
        <v>122</v>
      </c>
      <c r="AA75" s="759" t="s">
        <v>123</v>
      </c>
      <c r="AB75" s="820" t="s">
        <v>124</v>
      </c>
      <c r="AC75" s="821"/>
      <c r="AD75" s="822"/>
      <c r="AE75" s="759" t="s">
        <v>125</v>
      </c>
      <c r="AF75" s="759" t="s">
        <v>126</v>
      </c>
      <c r="AG75" s="149"/>
      <c r="AH75" s="759" t="s">
        <v>121</v>
      </c>
      <c r="AI75" s="759"/>
      <c r="AJ75" s="214" t="s">
        <v>7</v>
      </c>
      <c r="AK75" s="236">
        <f>((+AD78-AA78)/$AD$73)*24</f>
        <v>104427.63636363635</v>
      </c>
      <c r="AL75" s="236">
        <f>AK75</f>
        <v>104427.63636363635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0"/>
        <v>0</v>
      </c>
      <c r="L76" s="28">
        <f t="shared" si="25"/>
        <v>-1526</v>
      </c>
      <c r="M76" s="148"/>
      <c r="N76" s="148"/>
      <c r="O76" s="30" t="e">
        <f t="shared" si="18"/>
        <v>#DIV/0!</v>
      </c>
      <c r="P76" s="171"/>
      <c r="Q76" s="31">
        <f t="shared" si="19"/>
        <v>0</v>
      </c>
      <c r="R76" s="31"/>
      <c r="S76" s="28">
        <f t="shared" si="21"/>
        <v>0</v>
      </c>
      <c r="T76" s="28">
        <f t="shared" si="22"/>
        <v>0</v>
      </c>
      <c r="U76" s="28">
        <f t="shared" si="23"/>
        <v>0</v>
      </c>
      <c r="V76" s="28">
        <f t="shared" si="24"/>
        <v>0</v>
      </c>
      <c r="W76" s="31">
        <f t="shared" si="26"/>
        <v>0</v>
      </c>
      <c r="X76" s="211"/>
      <c r="Y76" s="759"/>
      <c r="Z76" s="759"/>
      <c r="AA76" s="759"/>
      <c r="AB76" s="759"/>
      <c r="AC76" s="759"/>
      <c r="AD76" s="759"/>
      <c r="AE76" s="759"/>
      <c r="AF76" s="759"/>
      <c r="AG76" s="149"/>
      <c r="AH76" s="759"/>
      <c r="AI76" s="759"/>
      <c r="AJ76" s="214" t="s">
        <v>6</v>
      </c>
      <c r="AK76" s="236">
        <f>((+AD79-AA79)/$AD$73)*24</f>
        <v>328933.81818181818</v>
      </c>
      <c r="AL76" s="236">
        <f>+AK76</f>
        <v>328933.81818181818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0"/>
        <v>0</v>
      </c>
      <c r="L77" s="28">
        <f t="shared" si="25"/>
        <v>-1526</v>
      </c>
      <c r="M77" s="148"/>
      <c r="N77" s="148"/>
      <c r="O77" s="30" t="e">
        <f t="shared" si="18"/>
        <v>#DIV/0!</v>
      </c>
      <c r="P77" s="171"/>
      <c r="Q77" s="31">
        <f t="shared" si="19"/>
        <v>0</v>
      </c>
      <c r="R77" s="31"/>
      <c r="S77" s="28">
        <f t="shared" si="21"/>
        <v>0</v>
      </c>
      <c r="T77" s="28">
        <f t="shared" si="22"/>
        <v>0</v>
      </c>
      <c r="U77" s="28">
        <f t="shared" si="23"/>
        <v>0</v>
      </c>
      <c r="V77" s="28">
        <f t="shared" si="24"/>
        <v>0</v>
      </c>
      <c r="W77" s="31">
        <f t="shared" si="26"/>
        <v>0</v>
      </c>
      <c r="X77" s="211"/>
      <c r="Y77" s="759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59"/>
      <c r="AI77" s="78"/>
      <c r="AJ77" s="214" t="s">
        <v>8</v>
      </c>
      <c r="AK77" s="236">
        <f>((+AD80-AA80)/$AD$73)*24</f>
        <v>58181.818181818177</v>
      </c>
      <c r="AL77" s="236">
        <f>AK77</f>
        <v>58181.818181818177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0"/>
        <v>0</v>
      </c>
      <c r="L78" s="28">
        <f t="shared" si="25"/>
        <v>-1526</v>
      </c>
      <c r="M78" s="148"/>
      <c r="N78" s="148"/>
      <c r="O78" s="30" t="e">
        <f t="shared" si="18"/>
        <v>#DIV/0!</v>
      </c>
      <c r="P78" s="171"/>
      <c r="Q78" s="31">
        <f t="shared" si="19"/>
        <v>0</v>
      </c>
      <c r="R78" s="31"/>
      <c r="S78" s="28">
        <f t="shared" si="21"/>
        <v>0</v>
      </c>
      <c r="T78" s="28">
        <f t="shared" si="22"/>
        <v>0</v>
      </c>
      <c r="U78" s="28">
        <f t="shared" si="23"/>
        <v>0</v>
      </c>
      <c r="V78" s="28">
        <f t="shared" si="24"/>
        <v>0</v>
      </c>
      <c r="W78" s="31">
        <f t="shared" si="26"/>
        <v>0</v>
      </c>
      <c r="X78" s="211"/>
      <c r="Y78" s="214" t="s">
        <v>7</v>
      </c>
      <c r="Z78" s="224">
        <v>93897</v>
      </c>
      <c r="AA78" s="225">
        <v>52000</v>
      </c>
      <c r="AB78" s="226">
        <f t="shared" ref="AB78:AC80" si="27">+Z58</f>
        <v>27806</v>
      </c>
      <c r="AC78" s="226">
        <f t="shared" si="27"/>
        <v>60091</v>
      </c>
      <c r="AD78" s="226">
        <f>+AB78+AC78+AB58+AC58</f>
        <v>87897</v>
      </c>
      <c r="AE78" s="519">
        <f>+((AD58/24)*$AD$73)+AA78</f>
        <v>82214.59375</v>
      </c>
      <c r="AF78" s="227">
        <f>+AE78-AD78</f>
        <v>-5682.40625</v>
      </c>
      <c r="AG78" s="212"/>
      <c r="AH78" s="214" t="s">
        <v>7</v>
      </c>
      <c r="AI78" s="446">
        <f>+AA78</f>
        <v>52000</v>
      </c>
      <c r="AK78" s="231">
        <f>+SUM(AK75:AK77)</f>
        <v>491543.27272727271</v>
      </c>
      <c r="AL78" s="231">
        <f>+SUM(AL75:AL77)</f>
        <v>491543.27272727271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0"/>
        <v>0</v>
      </c>
      <c r="L79" s="28">
        <f t="shared" si="25"/>
        <v>-1526</v>
      </c>
      <c r="M79" s="148"/>
      <c r="N79" s="148"/>
      <c r="O79" s="30" t="e">
        <f t="shared" si="18"/>
        <v>#DIV/0!</v>
      </c>
      <c r="P79" s="171"/>
      <c r="Q79" s="31">
        <f t="shared" si="19"/>
        <v>0</v>
      </c>
      <c r="R79" s="31"/>
      <c r="S79" s="28">
        <f t="shared" si="21"/>
        <v>0</v>
      </c>
      <c r="T79" s="28">
        <f t="shared" si="22"/>
        <v>0</v>
      </c>
      <c r="U79" s="28">
        <f t="shared" si="23"/>
        <v>0</v>
      </c>
      <c r="V79" s="28">
        <f t="shared" si="24"/>
        <v>0</v>
      </c>
      <c r="W79" s="31">
        <f t="shared" si="26"/>
        <v>0</v>
      </c>
      <c r="X79" s="211"/>
      <c r="Y79" s="214" t="s">
        <v>6</v>
      </c>
      <c r="Z79" s="224">
        <v>323071</v>
      </c>
      <c r="AA79" s="225">
        <v>210000</v>
      </c>
      <c r="AB79" s="226">
        <f t="shared" si="27"/>
        <v>153037</v>
      </c>
      <c r="AC79" s="226">
        <f t="shared" si="27"/>
        <v>170034</v>
      </c>
      <c r="AD79" s="226">
        <f>+AB79+AC79+AB59</f>
        <v>323071</v>
      </c>
      <c r="AE79" s="519">
        <f>+((AD59/24)*$AD$73)+AA79</f>
        <v>321055.65625</v>
      </c>
      <c r="AF79" s="227">
        <f>+AE79-AD79</f>
        <v>-2015.34375</v>
      </c>
      <c r="AG79" s="212"/>
      <c r="AH79" s="214" t="s">
        <v>6</v>
      </c>
      <c r="AI79" s="446">
        <f>+AA79</f>
        <v>210000</v>
      </c>
      <c r="AJ79" s="53"/>
      <c r="AK79" s="481">
        <f>Z10</f>
        <v>497017</v>
      </c>
      <c r="AL79" s="481">
        <f>AK79-AK78</f>
        <v>5473.7272727272939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0"/>
        <v>0</v>
      </c>
      <c r="L80" s="28">
        <f t="shared" si="25"/>
        <v>-1526</v>
      </c>
      <c r="M80" s="148"/>
      <c r="N80" s="234"/>
      <c r="O80" s="30" t="e">
        <f t="shared" si="18"/>
        <v>#DIV/0!</v>
      </c>
      <c r="P80" s="179"/>
      <c r="Q80" s="31">
        <f t="shared" si="19"/>
        <v>0</v>
      </c>
      <c r="R80" s="31"/>
      <c r="S80" s="28">
        <f t="shared" si="21"/>
        <v>0</v>
      </c>
      <c r="T80" s="28">
        <f t="shared" si="22"/>
        <v>0</v>
      </c>
      <c r="U80" s="28">
        <f t="shared" si="23"/>
        <v>0</v>
      </c>
      <c r="V80" s="28">
        <f t="shared" si="24"/>
        <v>0</v>
      </c>
      <c r="W80" s="31">
        <f t="shared" si="26"/>
        <v>0</v>
      </c>
      <c r="X80" s="211"/>
      <c r="Y80" s="214" t="s">
        <v>8</v>
      </c>
      <c r="Z80" s="224">
        <v>80000</v>
      </c>
      <c r="AA80" s="225">
        <v>60000</v>
      </c>
      <c r="AB80" s="226">
        <f t="shared" si="27"/>
        <v>32874</v>
      </c>
      <c r="AC80" s="226">
        <f t="shared" si="27"/>
        <v>47126</v>
      </c>
      <c r="AD80" s="226">
        <f>+AB80+AC80</f>
        <v>80000</v>
      </c>
      <c r="AE80" s="519">
        <f>+((AD60/24)*$AD$73)+AA80</f>
        <v>87500</v>
      </c>
      <c r="AF80" s="227">
        <f>+AE80-AD80</f>
        <v>7500</v>
      </c>
      <c r="AG80" s="149"/>
      <c r="AH80" s="214" t="s">
        <v>8</v>
      </c>
      <c r="AI80" s="447">
        <f>+AA80</f>
        <v>60000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0"/>
        <v>0</v>
      </c>
      <c r="L81" s="28">
        <f t="shared" si="25"/>
        <v>-1526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9"/>
        <v>0</v>
      </c>
      <c r="R81" s="31"/>
      <c r="S81" s="28">
        <f t="shared" si="21"/>
        <v>0</v>
      </c>
      <c r="T81" s="28">
        <f t="shared" si="22"/>
        <v>0</v>
      </c>
      <c r="U81" s="28">
        <f t="shared" si="23"/>
        <v>0</v>
      </c>
      <c r="V81" s="28">
        <f t="shared" si="24"/>
        <v>0</v>
      </c>
      <c r="W81" s="31">
        <f t="shared" si="26"/>
        <v>0</v>
      </c>
      <c r="X81" s="211"/>
      <c r="Y81" s="228" t="s">
        <v>130</v>
      </c>
      <c r="Z81" s="229">
        <f t="shared" ref="Z81:AE81" si="28">SUM(Z78:Z80)</f>
        <v>496968</v>
      </c>
      <c r="AA81" s="230">
        <f t="shared" si="28"/>
        <v>322000</v>
      </c>
      <c r="AB81" s="229">
        <f t="shared" si="28"/>
        <v>213717</v>
      </c>
      <c r="AC81" s="229">
        <f t="shared" si="28"/>
        <v>277251</v>
      </c>
      <c r="AD81" s="229">
        <f t="shared" si="28"/>
        <v>490968</v>
      </c>
      <c r="AE81" s="229">
        <f t="shared" si="28"/>
        <v>490770.25</v>
      </c>
      <c r="AF81" s="227">
        <f>+SUM(AF78:AF80)</f>
        <v>-197.75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0"/>
        <v>0</v>
      </c>
      <c r="L82" s="28">
        <f t="shared" si="25"/>
        <v>-1526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21"/>
        <v>0</v>
      </c>
      <c r="T82" s="28">
        <f t="shared" si="22"/>
        <v>0</v>
      </c>
      <c r="U82" s="28">
        <f t="shared" si="23"/>
        <v>0</v>
      </c>
      <c r="V82" s="28">
        <f t="shared" si="24"/>
        <v>0</v>
      </c>
      <c r="W82" s="31">
        <f t="shared" si="26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0"/>
        <v>0</v>
      </c>
      <c r="L83" s="28">
        <f t="shared" si="25"/>
        <v>-1526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21"/>
        <v>0</v>
      </c>
      <c r="T83" s="28">
        <f t="shared" si="22"/>
        <v>0</v>
      </c>
      <c r="U83" s="28">
        <f t="shared" si="23"/>
        <v>0</v>
      </c>
      <c r="V83" s="28">
        <f t="shared" si="24"/>
        <v>0</v>
      </c>
      <c r="W83" s="31">
        <f t="shared" si="26"/>
        <v>0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0"/>
        <v>0</v>
      </c>
      <c r="L84" s="28">
        <f t="shared" si="25"/>
        <v>-1526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21"/>
        <v>0</v>
      </c>
      <c r="T84" s="28">
        <f t="shared" si="22"/>
        <v>0</v>
      </c>
      <c r="U84" s="28">
        <f t="shared" si="23"/>
        <v>0</v>
      </c>
      <c r="V84" s="28">
        <f t="shared" si="24"/>
        <v>0</v>
      </c>
      <c r="W84" s="31">
        <f t="shared" si="26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0"/>
        <v>0</v>
      </c>
      <c r="L85" s="28">
        <f t="shared" si="25"/>
        <v>-1526</v>
      </c>
      <c r="M85" s="810"/>
      <c r="N85" s="810">
        <f>SUM(K85:K93)</f>
        <v>0</v>
      </c>
      <c r="O85" s="30" t="e">
        <f t="shared" ref="O85:O93" si="29">+K85/$N$85</f>
        <v>#DIV/0!</v>
      </c>
      <c r="P85" s="238"/>
      <c r="Q85" s="31">
        <f t="shared" ref="Q85:Q103" si="30">IF($P$85=0,0,(-($P$85*O85)+K85)-K85)</f>
        <v>0</v>
      </c>
      <c r="R85" s="31"/>
      <c r="S85" s="28">
        <f t="shared" si="21"/>
        <v>0</v>
      </c>
      <c r="T85" s="28">
        <f t="shared" si="22"/>
        <v>0</v>
      </c>
      <c r="U85" s="28">
        <f t="shared" si="23"/>
        <v>0</v>
      </c>
      <c r="V85" s="28">
        <f t="shared" si="24"/>
        <v>0</v>
      </c>
      <c r="W85" s="31">
        <f t="shared" si="26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0"/>
        <v>0</v>
      </c>
      <c r="L86" s="28">
        <f t="shared" si="25"/>
        <v>-1526</v>
      </c>
      <c r="M86" s="810"/>
      <c r="N86" s="810"/>
      <c r="O86" s="30" t="e">
        <f t="shared" si="29"/>
        <v>#DIV/0!</v>
      </c>
      <c r="P86" s="171"/>
      <c r="Q86" s="31">
        <f t="shared" si="30"/>
        <v>0</v>
      </c>
      <c r="R86" s="31"/>
      <c r="S86" s="28">
        <f t="shared" si="21"/>
        <v>0</v>
      </c>
      <c r="T86" s="28">
        <f t="shared" si="22"/>
        <v>0</v>
      </c>
      <c r="U86" s="28">
        <f t="shared" si="23"/>
        <v>0</v>
      </c>
      <c r="V86" s="28">
        <f t="shared" si="24"/>
        <v>0</v>
      </c>
      <c r="W86" s="31">
        <f t="shared" si="26"/>
        <v>0</v>
      </c>
      <c r="Y86" s="14" t="s">
        <v>177</v>
      </c>
      <c r="Z86" s="336" t="s">
        <v>178</v>
      </c>
      <c r="AA86" s="337">
        <f>+AA81</f>
        <v>322000</v>
      </c>
      <c r="AB86" s="337">
        <f>AA87-AA86</f>
        <v>-49810.270833333314</v>
      </c>
      <c r="AC86" s="42">
        <f>AB86*24/5.5</f>
        <v>-217353.909090909</v>
      </c>
      <c r="AD86" s="338">
        <f>AC86+353111</f>
        <v>135757.090909091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0"/>
        <v>0</v>
      </c>
      <c r="L87" s="28">
        <f t="shared" si="25"/>
        <v>-1526</v>
      </c>
      <c r="M87" s="810"/>
      <c r="N87" s="810"/>
      <c r="O87" s="30" t="e">
        <f t="shared" si="29"/>
        <v>#DIV/0!</v>
      </c>
      <c r="P87" s="171"/>
      <c r="Q87" s="31">
        <f t="shared" si="30"/>
        <v>0</v>
      </c>
      <c r="R87" s="31"/>
      <c r="S87" s="28">
        <f t="shared" si="21"/>
        <v>0</v>
      </c>
      <c r="T87" s="28">
        <f t="shared" si="22"/>
        <v>0</v>
      </c>
      <c r="U87" s="28">
        <f t="shared" si="23"/>
        <v>0</v>
      </c>
      <c r="V87" s="28">
        <f t="shared" si="24"/>
        <v>0</v>
      </c>
      <c r="W87" s="31">
        <f t="shared" si="26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31111.000000000022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0"/>
        <v>0</v>
      </c>
      <c r="L88" s="28">
        <f t="shared" si="25"/>
        <v>-1526</v>
      </c>
      <c r="M88" s="810"/>
      <c r="N88" s="810"/>
      <c r="O88" s="30" t="e">
        <f t="shared" si="29"/>
        <v>#DIV/0!</v>
      </c>
      <c r="P88" s="171"/>
      <c r="Q88" s="31">
        <f t="shared" si="30"/>
        <v>0</v>
      </c>
      <c r="R88" s="31"/>
      <c r="S88" s="28">
        <f t="shared" si="21"/>
        <v>0</v>
      </c>
      <c r="T88" s="28">
        <f t="shared" si="22"/>
        <v>0</v>
      </c>
      <c r="U88" s="28">
        <f t="shared" si="23"/>
        <v>0</v>
      </c>
      <c r="V88" s="28">
        <f t="shared" si="24"/>
        <v>0</v>
      </c>
      <c r="W88" s="31">
        <f t="shared" si="26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0"/>
        <v>0</v>
      </c>
      <c r="L89" s="28">
        <f t="shared" si="25"/>
        <v>-1526</v>
      </c>
      <c r="M89" s="810"/>
      <c r="N89" s="810"/>
      <c r="O89" s="30" t="e">
        <f t="shared" si="29"/>
        <v>#DIV/0!</v>
      </c>
      <c r="P89" s="171"/>
      <c r="Q89" s="31">
        <f t="shared" si="30"/>
        <v>0</v>
      </c>
      <c r="R89" s="31"/>
      <c r="S89" s="28">
        <f t="shared" si="21"/>
        <v>0</v>
      </c>
      <c r="T89" s="28">
        <f t="shared" si="22"/>
        <v>0</v>
      </c>
      <c r="U89" s="28">
        <f t="shared" si="23"/>
        <v>0</v>
      </c>
      <c r="V89" s="28">
        <f t="shared" si="24"/>
        <v>0</v>
      </c>
      <c r="W89" s="31">
        <f t="shared" si="26"/>
        <v>0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0"/>
        <v>0</v>
      </c>
      <c r="L90" s="28">
        <f t="shared" si="25"/>
        <v>-1526</v>
      </c>
      <c r="M90" s="810"/>
      <c r="N90" s="810"/>
      <c r="O90" s="30" t="e">
        <f t="shared" si="29"/>
        <v>#DIV/0!</v>
      </c>
      <c r="P90" s="171"/>
      <c r="Q90" s="31">
        <f t="shared" si="30"/>
        <v>0</v>
      </c>
      <c r="R90" s="31"/>
      <c r="S90" s="28">
        <f t="shared" si="21"/>
        <v>0</v>
      </c>
      <c r="T90" s="28">
        <f t="shared" si="22"/>
        <v>0</v>
      </c>
      <c r="U90" s="28">
        <f t="shared" si="23"/>
        <v>0</v>
      </c>
      <c r="V90" s="28">
        <f t="shared" si="24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0"/>
        <v>0</v>
      </c>
      <c r="L91" s="28">
        <f t="shared" si="25"/>
        <v>-1526</v>
      </c>
      <c r="M91" s="810"/>
      <c r="N91" s="810"/>
      <c r="O91" s="30" t="e">
        <f t="shared" si="29"/>
        <v>#DIV/0!</v>
      </c>
      <c r="P91" s="171"/>
      <c r="Q91" s="31">
        <f t="shared" si="30"/>
        <v>0</v>
      </c>
      <c r="R91" s="31"/>
      <c r="S91" s="28">
        <f t="shared" si="21"/>
        <v>0</v>
      </c>
      <c r="T91" s="28">
        <f t="shared" si="22"/>
        <v>0</v>
      </c>
      <c r="U91" s="28">
        <f t="shared" si="23"/>
        <v>0</v>
      </c>
      <c r="V91" s="28">
        <f t="shared" si="24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0"/>
        <v>0</v>
      </c>
      <c r="L92" s="28">
        <f t="shared" si="25"/>
        <v>-1526</v>
      </c>
      <c r="M92" s="810"/>
      <c r="N92" s="810"/>
      <c r="O92" s="30" t="e">
        <f t="shared" si="29"/>
        <v>#DIV/0!</v>
      </c>
      <c r="P92" s="171"/>
      <c r="Q92" s="31">
        <f t="shared" si="30"/>
        <v>0</v>
      </c>
      <c r="R92" s="31"/>
      <c r="S92" s="28">
        <f t="shared" si="21"/>
        <v>0</v>
      </c>
      <c r="T92" s="28">
        <f t="shared" si="22"/>
        <v>0</v>
      </c>
      <c r="U92" s="28">
        <f t="shared" si="23"/>
        <v>0</v>
      </c>
      <c r="V92" s="28">
        <f t="shared" si="24"/>
        <v>0</v>
      </c>
      <c r="W92" s="31">
        <f t="shared" si="26"/>
        <v>0</v>
      </c>
      <c r="Y92" s="882" t="s">
        <v>158</v>
      </c>
      <c r="Z92" s="586" t="s">
        <v>283</v>
      </c>
      <c r="AA92" s="699">
        <f>(SUMIF($D$2:$D$57,"domiciliario",$I$2:$I$103))/1000</f>
        <v>19.475999999999999</v>
      </c>
      <c r="AB92" s="700">
        <f>(SUMIF($D$2:$D$57,"domiciliario",$T$2:$T$103))/1000</f>
        <v>19.475999999999999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0"/>
        <v>0</v>
      </c>
      <c r="L93" s="28">
        <f t="shared" si="25"/>
        <v>-1526</v>
      </c>
      <c r="M93" s="810"/>
      <c r="N93" s="810"/>
      <c r="O93" s="30" t="e">
        <f t="shared" si="29"/>
        <v>#DIV/0!</v>
      </c>
      <c r="P93" s="179"/>
      <c r="Q93" s="31">
        <f t="shared" si="30"/>
        <v>0</v>
      </c>
      <c r="R93" s="31"/>
      <c r="S93" s="28">
        <f t="shared" si="21"/>
        <v>0</v>
      </c>
      <c r="T93" s="28">
        <f t="shared" si="22"/>
        <v>0</v>
      </c>
      <c r="U93" s="28">
        <f t="shared" si="23"/>
        <v>0</v>
      </c>
      <c r="V93" s="28">
        <f t="shared" si="24"/>
        <v>0</v>
      </c>
      <c r="W93" s="31">
        <f t="shared" si="26"/>
        <v>0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0"/>
        <v>0</v>
      </c>
      <c r="L94" s="28">
        <f t="shared" si="25"/>
        <v>-1526</v>
      </c>
      <c r="M94" s="810"/>
      <c r="N94" s="810">
        <f>SUM(K94:K103)</f>
        <v>0</v>
      </c>
      <c r="O94" s="30">
        <f t="shared" ref="O94:O103" si="31">IF($N$94=0,0,+K94/$N$94)</f>
        <v>0</v>
      </c>
      <c r="P94" s="238"/>
      <c r="Q94" s="31">
        <f t="shared" si="30"/>
        <v>0</v>
      </c>
      <c r="R94" s="31"/>
      <c r="S94" s="28">
        <f t="shared" si="21"/>
        <v>0</v>
      </c>
      <c r="T94" s="28">
        <f t="shared" si="22"/>
        <v>0</v>
      </c>
      <c r="U94" s="28">
        <f t="shared" si="23"/>
        <v>0</v>
      </c>
      <c r="V94" s="28">
        <f t="shared" si="24"/>
        <v>0</v>
      </c>
      <c r="W94" s="31">
        <f t="shared" si="26"/>
        <v>0</v>
      </c>
      <c r="Y94" s="883"/>
      <c r="Z94" s="588" t="s">
        <v>80</v>
      </c>
      <c r="AA94" s="701">
        <f>(SUMIF($D$2:$D$57,"gnv",$I$2:$I$103))/1000</f>
        <v>0.33</v>
      </c>
      <c r="AB94" s="702">
        <f>(SUMIF($D$2:$D$57,"gnv",$T$2:$T$103))/1000</f>
        <v>0.33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0"/>
        <v>0</v>
      </c>
      <c r="L95" s="28">
        <f t="shared" si="25"/>
        <v>-1526</v>
      </c>
      <c r="M95" s="810"/>
      <c r="N95" s="810"/>
      <c r="O95" s="30">
        <f t="shared" si="31"/>
        <v>0</v>
      </c>
      <c r="P95" s="171"/>
      <c r="Q95" s="31">
        <f t="shared" si="30"/>
        <v>0</v>
      </c>
      <c r="R95" s="31"/>
      <c r="S95" s="28">
        <f t="shared" si="21"/>
        <v>0</v>
      </c>
      <c r="T95" s="28">
        <f t="shared" si="22"/>
        <v>0</v>
      </c>
      <c r="U95" s="28">
        <f t="shared" si="23"/>
        <v>0</v>
      </c>
      <c r="V95" s="28">
        <f t="shared" si="24"/>
        <v>0</v>
      </c>
      <c r="W95" s="31">
        <f t="shared" si="26"/>
        <v>0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8</v>
      </c>
      <c r="AB95" s="702">
        <f>(SUMIF($D$2:$D$57,"termico",$T$2:$T$103)+SUMIF($D$2:$D$57,"electrico",$T$2:$T$103)+SUMIF($D$2:$D$57,"térmico",$T$2:$T$103))/1000</f>
        <v>8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0"/>
        <v>0</v>
      </c>
      <c r="L96" s="28">
        <f t="shared" si="25"/>
        <v>-1526</v>
      </c>
      <c r="M96" s="810"/>
      <c r="N96" s="810"/>
      <c r="O96" s="30">
        <f t="shared" si="31"/>
        <v>0</v>
      </c>
      <c r="P96" s="171"/>
      <c r="Q96" s="31">
        <f t="shared" si="30"/>
        <v>0</v>
      </c>
      <c r="R96" s="31"/>
      <c r="S96" s="28">
        <f t="shared" si="21"/>
        <v>0</v>
      </c>
      <c r="T96" s="28">
        <f t="shared" si="22"/>
        <v>0</v>
      </c>
      <c r="U96" s="28">
        <f t="shared" si="23"/>
        <v>0</v>
      </c>
      <c r="V96" s="28">
        <f t="shared" si="24"/>
        <v>0</v>
      </c>
      <c r="W96" s="31">
        <f t="shared" si="26"/>
        <v>0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0"/>
        <v>0</v>
      </c>
      <c r="L97" s="28">
        <f t="shared" si="25"/>
        <v>-1526</v>
      </c>
      <c r="M97" s="810"/>
      <c r="N97" s="810"/>
      <c r="O97" s="30">
        <f t="shared" si="31"/>
        <v>0</v>
      </c>
      <c r="P97" s="171"/>
      <c r="Q97" s="31">
        <f t="shared" si="30"/>
        <v>0</v>
      </c>
      <c r="R97" s="31"/>
      <c r="S97" s="28">
        <f t="shared" si="21"/>
        <v>0</v>
      </c>
      <c r="T97" s="28">
        <f t="shared" si="22"/>
        <v>0</v>
      </c>
      <c r="U97" s="28">
        <f t="shared" si="23"/>
        <v>0</v>
      </c>
      <c r="V97" s="28">
        <f t="shared" si="24"/>
        <v>0</v>
      </c>
      <c r="W97" s="31">
        <f t="shared" si="26"/>
        <v>0</v>
      </c>
      <c r="Y97" s="825" t="s">
        <v>154</v>
      </c>
      <c r="Z97" s="489" t="s">
        <v>283</v>
      </c>
      <c r="AA97" s="705">
        <f>(SUMIF($D$2:$D$57,"domiciliario",$H$2:$H$103))/1000</f>
        <v>31.716999999999999</v>
      </c>
      <c r="AB97" s="706">
        <f>(SUMIF($D$2:$D$57,"domiciliario",$S$2:$S$103))/1000</f>
        <v>31.716999999999999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0"/>
        <v>0</v>
      </c>
      <c r="L98" s="28">
        <f t="shared" si="25"/>
        <v>-1526</v>
      </c>
      <c r="M98" s="810"/>
      <c r="N98" s="810"/>
      <c r="O98" s="30">
        <f t="shared" si="31"/>
        <v>0</v>
      </c>
      <c r="P98" s="171"/>
      <c r="Q98" s="31">
        <f t="shared" si="30"/>
        <v>0</v>
      </c>
      <c r="R98" s="31"/>
      <c r="S98" s="28">
        <f t="shared" si="21"/>
        <v>0</v>
      </c>
      <c r="T98" s="28">
        <f t="shared" si="22"/>
        <v>0</v>
      </c>
      <c r="U98" s="28">
        <f t="shared" si="23"/>
        <v>0</v>
      </c>
      <c r="V98" s="28">
        <f t="shared" si="24"/>
        <v>0</v>
      </c>
      <c r="W98" s="31">
        <f t="shared" si="26"/>
        <v>0</v>
      </c>
      <c r="Y98" s="826"/>
      <c r="Z98" s="492" t="s">
        <v>284</v>
      </c>
      <c r="AA98" s="707">
        <f>(SUMIF($D$2:$D$57,"industrial",$H$2:$H$103))/1000</f>
        <v>16.170000000000002</v>
      </c>
      <c r="AB98" s="708">
        <f>(SUMIF($D$2:$D$57,"industrial",$S$2:$S$103))/1000</f>
        <v>16.170000000000002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0"/>
        <v>0</v>
      </c>
      <c r="L99" s="28">
        <f t="shared" si="25"/>
        <v>-1526</v>
      </c>
      <c r="M99" s="810"/>
      <c r="N99" s="810"/>
      <c r="O99" s="30">
        <f t="shared" si="31"/>
        <v>0</v>
      </c>
      <c r="P99" s="171"/>
      <c r="Q99" s="31">
        <f t="shared" si="30"/>
        <v>0</v>
      </c>
      <c r="R99" s="31"/>
      <c r="S99" s="28">
        <f t="shared" si="21"/>
        <v>0</v>
      </c>
      <c r="T99" s="28">
        <f t="shared" si="22"/>
        <v>0</v>
      </c>
      <c r="U99" s="28">
        <f t="shared" si="23"/>
        <v>0</v>
      </c>
      <c r="V99" s="28">
        <f t="shared" si="24"/>
        <v>0</v>
      </c>
      <c r="W99" s="31">
        <f t="shared" si="26"/>
        <v>0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0"/>
        <v>0</v>
      </c>
      <c r="L100" s="28">
        <f t="shared" si="25"/>
        <v>-1526</v>
      </c>
      <c r="M100" s="810"/>
      <c r="N100" s="810"/>
      <c r="O100" s="30">
        <f t="shared" si="31"/>
        <v>0</v>
      </c>
      <c r="P100" s="171"/>
      <c r="Q100" s="31">
        <f t="shared" si="30"/>
        <v>0</v>
      </c>
      <c r="R100" s="31"/>
      <c r="S100" s="28">
        <f t="shared" si="21"/>
        <v>0</v>
      </c>
      <c r="T100" s="28">
        <f t="shared" si="22"/>
        <v>0</v>
      </c>
      <c r="U100" s="28">
        <f t="shared" si="23"/>
        <v>0</v>
      </c>
      <c r="V100" s="28">
        <f t="shared" si="24"/>
        <v>0</v>
      </c>
      <c r="W100" s="31">
        <f t="shared" si="26"/>
        <v>0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105.15</v>
      </c>
      <c r="AB100" s="708">
        <f>(SUMIF($D$2:$D$57,"termico",$S$2:$S$103)+SUMIF($D$2:$D$57,"electrico",$S$2:$S$103)+SUMIF($D$2:$D$57,"térmico",$S$2:$S$103))/1000</f>
        <v>105.15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0"/>
        <v>0</v>
      </c>
      <c r="L101" s="28">
        <f t="shared" si="25"/>
        <v>-1526</v>
      </c>
      <c r="M101" s="810"/>
      <c r="N101" s="810"/>
      <c r="O101" s="30">
        <f t="shared" si="31"/>
        <v>0</v>
      </c>
      <c r="P101" s="171"/>
      <c r="Q101" s="31">
        <f t="shared" si="30"/>
        <v>0</v>
      </c>
      <c r="R101" s="31"/>
      <c r="S101" s="28">
        <f t="shared" si="21"/>
        <v>0</v>
      </c>
      <c r="T101" s="28">
        <f t="shared" si="22"/>
        <v>0</v>
      </c>
      <c r="U101" s="28">
        <f t="shared" si="23"/>
        <v>0</v>
      </c>
      <c r="V101" s="28">
        <f t="shared" si="24"/>
        <v>0</v>
      </c>
      <c r="W101" s="31">
        <f t="shared" si="26"/>
        <v>0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0"/>
        <v>0</v>
      </c>
      <c r="L102" s="28">
        <f t="shared" si="25"/>
        <v>-1526</v>
      </c>
      <c r="M102" s="810"/>
      <c r="N102" s="810"/>
      <c r="O102" s="30">
        <f t="shared" si="31"/>
        <v>0</v>
      </c>
      <c r="P102" s="171"/>
      <c r="Q102" s="31">
        <f t="shared" si="30"/>
        <v>0</v>
      </c>
      <c r="R102" s="31"/>
      <c r="S102" s="28">
        <f t="shared" si="21"/>
        <v>0</v>
      </c>
      <c r="T102" s="28">
        <f t="shared" si="22"/>
        <v>0</v>
      </c>
      <c r="U102" s="28">
        <f t="shared" si="23"/>
        <v>0</v>
      </c>
      <c r="V102" s="28">
        <f t="shared" si="24"/>
        <v>0</v>
      </c>
      <c r="W102" s="31">
        <f t="shared" si="26"/>
        <v>0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32.874000000000002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0"/>
        <v>0</v>
      </c>
      <c r="L103" s="28">
        <f t="shared" si="25"/>
        <v>-1526</v>
      </c>
      <c r="M103" s="810"/>
      <c r="N103" s="810"/>
      <c r="O103" s="30">
        <f t="shared" si="31"/>
        <v>0</v>
      </c>
      <c r="P103" s="179"/>
      <c r="Q103" s="31">
        <f t="shared" si="30"/>
        <v>0</v>
      </c>
      <c r="R103" s="31"/>
      <c r="S103" s="28">
        <f t="shared" si="21"/>
        <v>0</v>
      </c>
      <c r="T103" s="28">
        <f t="shared" si="22"/>
        <v>0</v>
      </c>
      <c r="U103" s="28">
        <f t="shared" si="23"/>
        <v>0</v>
      </c>
      <c r="V103" s="28">
        <f t="shared" si="24"/>
        <v>0</v>
      </c>
      <c r="W103" s="31">
        <f t="shared" si="26"/>
        <v>0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153037</v>
      </c>
      <c r="I105" s="252">
        <f>+SUM(I2:I103)</f>
        <v>27806</v>
      </c>
      <c r="J105" s="252">
        <f>+SUM(J2:J103)</f>
        <v>34400</v>
      </c>
      <c r="K105" s="252">
        <f>SUM(K2:K103)</f>
        <v>215243</v>
      </c>
      <c r="L105" s="253">
        <f>+L103</f>
        <v>-1526</v>
      </c>
      <c r="M105" s="252">
        <f>SUM(M2:M103)</f>
        <v>0</v>
      </c>
      <c r="N105" s="252">
        <f>SUM(N2:N103)</f>
        <v>215243</v>
      </c>
      <c r="O105" s="252"/>
      <c r="P105" s="252">
        <f>SUM(P2:P103)</f>
        <v>0</v>
      </c>
      <c r="Q105" s="252">
        <f>SUM(Q2:Q103)</f>
        <v>0</v>
      </c>
      <c r="R105" s="252">
        <f>SUM(R2:R103)</f>
        <v>-1526</v>
      </c>
      <c r="S105" s="252">
        <f>SUM(S2:S103)</f>
        <v>153037</v>
      </c>
      <c r="T105" s="252">
        <f>+SUM(T2:T103)</f>
        <v>27806</v>
      </c>
      <c r="U105" s="252">
        <f>SUM(U2:U103)</f>
        <v>32874</v>
      </c>
      <c r="V105" s="252">
        <f>SUM(V2:V103)</f>
        <v>213717</v>
      </c>
      <c r="W105" s="254">
        <f>+W103</f>
        <v>0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>
        <v>131037</v>
      </c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>
        <f>H106-H105</f>
        <v>-22000</v>
      </c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194743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-12589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M85:M103"/>
    <mergeCell ref="N85:N93"/>
    <mergeCell ref="Y92:Y96"/>
    <mergeCell ref="N94:N103"/>
    <mergeCell ref="Y97:Y101"/>
    <mergeCell ref="Y69:Z69"/>
    <mergeCell ref="AA72:AC72"/>
    <mergeCell ref="AK72:AK74"/>
    <mergeCell ref="AL72:AL74"/>
    <mergeCell ref="AB75:AD75"/>
    <mergeCell ref="N81:N84"/>
    <mergeCell ref="M56:M57"/>
    <mergeCell ref="N56:N57"/>
    <mergeCell ref="Y56:AD56"/>
    <mergeCell ref="Y66:Z66"/>
    <mergeCell ref="Y67:Z67"/>
    <mergeCell ref="Y68:Z68"/>
    <mergeCell ref="N27:N49"/>
    <mergeCell ref="P27:P49"/>
    <mergeCell ref="Y33:Y34"/>
    <mergeCell ref="N50:N55"/>
    <mergeCell ref="P50:P55"/>
    <mergeCell ref="Y55:AD55"/>
    <mergeCell ref="AB1:AE1"/>
    <mergeCell ref="AF1:AF2"/>
    <mergeCell ref="AG1:AG2"/>
    <mergeCell ref="N2:N26"/>
    <mergeCell ref="P2:P26"/>
    <mergeCell ref="AQ2:AU2"/>
    <mergeCell ref="AB15:AC15"/>
    <mergeCell ref="AB16:AC16"/>
    <mergeCell ref="AB17:AC17"/>
  </mergeCells>
  <conditionalFormatting sqref="AA78">
    <cfRule type="cellIs" dxfId="9" priority="3" operator="lessThan">
      <formula>$AA$78</formula>
    </cfRule>
    <cfRule type="cellIs" dxfId="8" priority="5" operator="greaterThan">
      <formula>$AE$78</formula>
    </cfRule>
  </conditionalFormatting>
  <conditionalFormatting sqref="AA79">
    <cfRule type="cellIs" dxfId="7" priority="4" operator="greaterThan">
      <formula>$AE$79</formula>
    </cfRule>
  </conditionalFormatting>
  <conditionalFormatting sqref="AA80">
    <cfRule type="cellIs" dxfId="6" priority="2" operator="greaterThan">
      <formula>$AE$79</formula>
    </cfRule>
  </conditionalFormatting>
  <conditionalFormatting sqref="AU4:AU23">
    <cfRule type="cellIs" dxfId="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186"/>
  <sheetViews>
    <sheetView tabSelected="1" topLeftCell="U1" zoomScale="90" zoomScaleNormal="90" workbookViewId="0">
      <selection activeCell="AE10" sqref="AE10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16.7109375" style="294" bestFit="1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11.5703125" style="20" bestFit="1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37.14062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50" ht="25.5" x14ac:dyDescent="0.2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03"/>
      <c r="AI1" s="103"/>
      <c r="AJ1" s="643"/>
      <c r="AK1" s="510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</row>
    <row r="2" spans="1:50" ht="18" customHeight="1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 t="shared" ref="K2:K65" si="0">SUM(H2:J2)</f>
        <v>3000</v>
      </c>
      <c r="L2" s="28">
        <f>AA4-K2</f>
        <v>206332</v>
      </c>
      <c r="M2" s="29"/>
      <c r="N2" s="798">
        <f>SUM(K2:K26)</f>
        <v>157200</v>
      </c>
      <c r="O2" s="30">
        <f t="shared" ref="O2:O17" si="1">+K2/$N$2</f>
        <v>1.9083969465648856E-2</v>
      </c>
      <c r="P2" s="801"/>
      <c r="Q2" s="31">
        <f t="shared" ref="Q2:Q15" si="2">IF($P$2=0,0,(-($P$2*O2)+K2)-K2)</f>
        <v>0</v>
      </c>
      <c r="R2" s="31"/>
      <c r="S2" s="28">
        <f t="shared" ref="S2:S65" si="3">IF(H2&lt;&gt;0,+H2+Q2+R2,0)</f>
        <v>3000</v>
      </c>
      <c r="T2" s="28">
        <f t="shared" ref="T2:T65" si="4">IF(I2&lt;&gt;0,+I2+Q2+R2,0)</f>
        <v>0</v>
      </c>
      <c r="U2" s="28">
        <f t="shared" ref="U2:U65" si="5">IF(J2&lt;&gt;0,+J2+Q2+R2,0)</f>
        <v>0</v>
      </c>
      <c r="V2" s="28">
        <f t="shared" ref="V2:V65" si="6">+S2+T2+U2</f>
        <v>3000</v>
      </c>
      <c r="W2" s="31">
        <f>Z24-V2</f>
        <v>206332</v>
      </c>
      <c r="X2" s="32">
        <f t="shared" ref="X2:X17" si="7"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761" t="s">
        <v>31</v>
      </c>
      <c r="AE2" s="761" t="s">
        <v>9</v>
      </c>
      <c r="AF2" s="796"/>
      <c r="AG2" s="797"/>
      <c r="AH2" s="103"/>
      <c r="AI2" s="103"/>
      <c r="AJ2" s="643"/>
      <c r="AK2" s="510"/>
      <c r="AL2" s="116"/>
      <c r="AM2" s="116"/>
      <c r="AN2" s="116"/>
      <c r="AO2" s="116"/>
      <c r="AP2" s="116"/>
      <c r="AQ2" s="885"/>
      <c r="AR2" s="885"/>
      <c r="AS2" s="885"/>
      <c r="AT2" s="885"/>
      <c r="AU2" s="885"/>
      <c r="AV2" s="116"/>
      <c r="AW2" s="116"/>
      <c r="AX2" s="116"/>
    </row>
    <row r="3" spans="1:50" ht="18" customHeight="1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si="0"/>
        <v>1100</v>
      </c>
      <c r="L3" s="28">
        <f t="shared" ref="L3:L66" si="8">+L2-K3</f>
        <v>205232</v>
      </c>
      <c r="M3" s="29"/>
      <c r="N3" s="799"/>
      <c r="O3" s="30">
        <f t="shared" si="1"/>
        <v>6.9974554707379136E-3</v>
      </c>
      <c r="P3" s="802"/>
      <c r="Q3" s="31">
        <f t="shared" si="2"/>
        <v>0</v>
      </c>
      <c r="R3" s="31"/>
      <c r="S3" s="28">
        <f t="shared" si="3"/>
        <v>0</v>
      </c>
      <c r="T3" s="28">
        <f t="shared" si="4"/>
        <v>1100</v>
      </c>
      <c r="U3" s="28">
        <f t="shared" si="5"/>
        <v>0</v>
      </c>
      <c r="V3" s="28">
        <f t="shared" si="6"/>
        <v>1100</v>
      </c>
      <c r="W3" s="31">
        <f t="shared" ref="W3:W66" si="9">+W2-V3</f>
        <v>205232</v>
      </c>
      <c r="X3" s="32">
        <f t="shared" si="7"/>
        <v>0</v>
      </c>
      <c r="Y3" s="37" t="s">
        <v>34</v>
      </c>
      <c r="Z3" s="38">
        <f>ROUND((Z13*57%),0)</f>
        <v>278258</v>
      </c>
      <c r="AA3" s="39">
        <f>ROUND((+Z14*0.57),0)</f>
        <v>277486</v>
      </c>
      <c r="AB3" s="454">
        <v>60460</v>
      </c>
      <c r="AC3" s="455">
        <v>166845</v>
      </c>
      <c r="AD3" s="40">
        <v>45600</v>
      </c>
      <c r="AE3" s="736">
        <f>SUM(AB3:AD3)</f>
        <v>272905</v>
      </c>
      <c r="AF3" s="41">
        <f>AA3-AE3</f>
        <v>4581</v>
      </c>
      <c r="AG3" s="42">
        <f>AA3-AB3-AC3-AD3</f>
        <v>4581</v>
      </c>
      <c r="AH3" s="103"/>
      <c r="AI3" s="103"/>
      <c r="AJ3" s="644"/>
      <c r="AK3" s="645"/>
      <c r="AL3" s="286"/>
      <c r="AM3" s="286"/>
      <c r="AN3" s="116"/>
      <c r="AO3" s="116"/>
      <c r="AP3" s="116"/>
      <c r="AQ3" s="646"/>
      <c r="AR3" s="647"/>
      <c r="AS3" s="648"/>
      <c r="AT3" s="648"/>
      <c r="AU3" s="648"/>
      <c r="AV3" s="116"/>
      <c r="AW3" s="116"/>
      <c r="AX3" s="116"/>
    </row>
    <row r="4" spans="1:50" ht="18" customHeight="1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8200</v>
      </c>
      <c r="J4" s="26"/>
      <c r="K4" s="27">
        <f t="shared" si="0"/>
        <v>8200</v>
      </c>
      <c r="L4" s="28">
        <f t="shared" si="8"/>
        <v>197032</v>
      </c>
      <c r="M4" s="29"/>
      <c r="N4" s="799"/>
      <c r="O4" s="30">
        <f t="shared" si="1"/>
        <v>5.2162849872773538E-2</v>
      </c>
      <c r="P4" s="802"/>
      <c r="Q4" s="31">
        <f t="shared" si="2"/>
        <v>0</v>
      </c>
      <c r="R4" s="31"/>
      <c r="S4" s="28">
        <f t="shared" si="3"/>
        <v>0</v>
      </c>
      <c r="T4" s="28">
        <f t="shared" si="4"/>
        <v>8200</v>
      </c>
      <c r="U4" s="28">
        <f t="shared" si="5"/>
        <v>0</v>
      </c>
      <c r="V4" s="28">
        <f t="shared" si="6"/>
        <v>8200</v>
      </c>
      <c r="W4" s="31">
        <f t="shared" si="9"/>
        <v>197032</v>
      </c>
      <c r="X4" s="32">
        <f t="shared" si="7"/>
        <v>0</v>
      </c>
      <c r="Y4" s="37" t="s">
        <v>38</v>
      </c>
      <c r="Z4" s="38">
        <f>ROUND((Z13*43%),0)</f>
        <v>209914</v>
      </c>
      <c r="AA4" s="39">
        <f>ROUND((+Z14*0.43),0)</f>
        <v>209332</v>
      </c>
      <c r="AB4" s="43">
        <f>T105</f>
        <v>19602</v>
      </c>
      <c r="AC4" s="43">
        <f>S105</f>
        <v>147898</v>
      </c>
      <c r="AD4" s="40">
        <f>U105</f>
        <v>34400</v>
      </c>
      <c r="AE4" s="736">
        <f>SUM(AB4:AD4)</f>
        <v>201900</v>
      </c>
      <c r="AF4" s="41">
        <f>AA4-AE4</f>
        <v>7432</v>
      </c>
      <c r="AG4" s="42">
        <f>AA4-AB4-AC4-AD4</f>
        <v>7432</v>
      </c>
      <c r="AH4" s="751">
        <f>AG4/1000</f>
        <v>7.4320000000000004</v>
      </c>
      <c r="AI4" s="103"/>
      <c r="AJ4" s="649"/>
      <c r="AK4" s="510"/>
      <c r="AL4" s="116"/>
      <c r="AM4" s="116"/>
      <c r="AN4" s="116"/>
      <c r="AO4" s="116"/>
      <c r="AP4" s="116"/>
      <c r="AQ4" s="643"/>
      <c r="AR4" s="510"/>
      <c r="AS4" s="510"/>
      <c r="AT4" s="119"/>
      <c r="AU4" s="640"/>
      <c r="AV4" s="116"/>
      <c r="AW4" s="116"/>
      <c r="AX4" s="116"/>
    </row>
    <row r="5" spans="1:50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8"/>
        <v>195832</v>
      </c>
      <c r="M5" s="29"/>
      <c r="N5" s="799"/>
      <c r="O5" s="30">
        <f t="shared" si="1"/>
        <v>7.6335877862595417E-3</v>
      </c>
      <c r="P5" s="802"/>
      <c r="Q5" s="31">
        <f t="shared" si="2"/>
        <v>0</v>
      </c>
      <c r="R5" s="31"/>
      <c r="S5" s="28">
        <f t="shared" si="3"/>
        <v>0</v>
      </c>
      <c r="T5" s="28">
        <f t="shared" si="4"/>
        <v>1200</v>
      </c>
      <c r="U5" s="28">
        <f t="shared" si="5"/>
        <v>0</v>
      </c>
      <c r="V5" s="28">
        <f t="shared" si="6"/>
        <v>1200</v>
      </c>
      <c r="W5" s="31">
        <f t="shared" si="9"/>
        <v>195832</v>
      </c>
      <c r="X5" s="32">
        <f t="shared" si="7"/>
        <v>0</v>
      </c>
      <c r="Y5" s="44" t="s">
        <v>41</v>
      </c>
      <c r="Z5" s="38">
        <f>SUM(Z3:Z4)</f>
        <v>488172</v>
      </c>
      <c r="AA5" s="45">
        <f>SUM(AA3:AA4)</f>
        <v>486818</v>
      </c>
      <c r="AB5" s="46">
        <f>SUM(AB3:AB4)</f>
        <v>80062</v>
      </c>
      <c r="AC5" s="41">
        <f>SUM(AC3:AC4)</f>
        <v>314743</v>
      </c>
      <c r="AD5" s="40">
        <f>SUM(AD3:AD4)</f>
        <v>80000</v>
      </c>
      <c r="AE5" s="41">
        <f>SUM(AB5:AD5)</f>
        <v>474805</v>
      </c>
      <c r="AF5" s="47">
        <f>SUM(AF3:AF4)</f>
        <v>12013</v>
      </c>
      <c r="AG5" s="47">
        <f>SUM(AG3:AG4)</f>
        <v>12013</v>
      </c>
      <c r="AH5" s="103"/>
      <c r="AI5" s="650"/>
      <c r="AJ5" s="643"/>
      <c r="AK5" s="643"/>
      <c r="AL5" s="643"/>
      <c r="AM5" s="643"/>
      <c r="AN5" s="116"/>
      <c r="AO5" s="116"/>
      <c r="AP5" s="116"/>
      <c r="AQ5" s="643"/>
      <c r="AR5" s="510"/>
      <c r="AS5" s="510"/>
      <c r="AT5" s="119"/>
      <c r="AU5" s="640"/>
      <c r="AV5" s="116"/>
      <c r="AW5" s="116"/>
      <c r="AX5" s="116"/>
    </row>
    <row r="6" spans="1:50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8"/>
        <v>183832</v>
      </c>
      <c r="M6" s="29"/>
      <c r="N6" s="799"/>
      <c r="O6" s="30">
        <f t="shared" si="1"/>
        <v>7.6335877862595422E-2</v>
      </c>
      <c r="P6" s="802"/>
      <c r="Q6" s="31">
        <f t="shared" si="2"/>
        <v>0</v>
      </c>
      <c r="R6" s="48"/>
      <c r="S6" s="28">
        <f t="shared" si="3"/>
        <v>12000</v>
      </c>
      <c r="T6" s="28">
        <f t="shared" si="4"/>
        <v>0</v>
      </c>
      <c r="U6" s="28">
        <f t="shared" si="5"/>
        <v>0</v>
      </c>
      <c r="V6" s="28">
        <f t="shared" si="6"/>
        <v>12000</v>
      </c>
      <c r="W6" s="31">
        <f t="shared" si="9"/>
        <v>183832</v>
      </c>
      <c r="X6" s="32">
        <f t="shared" si="7"/>
        <v>0</v>
      </c>
      <c r="Z6" s="49">
        <f>5000*43%</f>
        <v>2150</v>
      </c>
      <c r="AA6" s="50"/>
      <c r="AB6" s="17"/>
      <c r="AC6" s="50"/>
      <c r="AD6" s="51">
        <f>80000-AD4</f>
        <v>45600</v>
      </c>
      <c r="AE6" s="17"/>
      <c r="AF6" s="17"/>
      <c r="AH6" s="103"/>
      <c r="AI6" s="116"/>
      <c r="AJ6" s="510"/>
      <c r="AK6" s="510"/>
      <c r="AL6" s="510"/>
      <c r="AM6" s="121"/>
      <c r="AN6" s="116"/>
      <c r="AO6" s="116"/>
      <c r="AP6" s="116"/>
      <c r="AQ6" s="116"/>
      <c r="AR6" s="116"/>
      <c r="AS6" s="510"/>
      <c r="AT6" s="119"/>
      <c r="AU6" s="640"/>
      <c r="AV6" s="116"/>
      <c r="AW6" s="116"/>
      <c r="AX6" s="116"/>
    </row>
    <row r="7" spans="1:50" ht="18" customHeight="1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11987+1940</f>
        <v>13927</v>
      </c>
      <c r="I7" s="518">
        <f>2813+460+800</f>
        <v>4073</v>
      </c>
      <c r="J7" s="26"/>
      <c r="K7" s="27">
        <f t="shared" si="0"/>
        <v>18000</v>
      </c>
      <c r="L7" s="28">
        <f t="shared" si="8"/>
        <v>165832</v>
      </c>
      <c r="M7" s="29"/>
      <c r="N7" s="799"/>
      <c r="O7" s="30">
        <f t="shared" si="1"/>
        <v>0.11450381679389313</v>
      </c>
      <c r="P7" s="802"/>
      <c r="Q7" s="31">
        <f t="shared" si="2"/>
        <v>0</v>
      </c>
      <c r="R7" s="31"/>
      <c r="S7" s="28">
        <f t="shared" si="3"/>
        <v>13927</v>
      </c>
      <c r="T7" s="28">
        <f t="shared" si="4"/>
        <v>4073</v>
      </c>
      <c r="U7" s="28">
        <f t="shared" si="5"/>
        <v>0</v>
      </c>
      <c r="V7" s="28">
        <f t="shared" si="6"/>
        <v>18000</v>
      </c>
      <c r="W7" s="31">
        <f t="shared" si="9"/>
        <v>165832</v>
      </c>
      <c r="X7" s="32">
        <f t="shared" si="7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119"/>
      <c r="AI7" s="286"/>
      <c r="AJ7" s="510"/>
      <c r="AK7" s="510"/>
      <c r="AL7" s="510"/>
      <c r="AM7" s="510"/>
      <c r="AN7" s="116"/>
      <c r="AO7" s="116"/>
      <c r="AP7" s="116"/>
      <c r="AQ7" s="116"/>
      <c r="AR7" s="116"/>
      <c r="AS7" s="510"/>
      <c r="AT7" s="119"/>
      <c r="AU7" s="640"/>
      <c r="AV7" s="116"/>
      <c r="AW7" s="116"/>
      <c r="AX7" s="116"/>
    </row>
    <row r="8" spans="1:50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8"/>
        <v>163332</v>
      </c>
      <c r="M8" s="29"/>
      <c r="N8" s="799"/>
      <c r="O8" s="30">
        <f t="shared" si="1"/>
        <v>1.5903307888040712E-2</v>
      </c>
      <c r="P8" s="802"/>
      <c r="Q8" s="31">
        <f t="shared" si="2"/>
        <v>0</v>
      </c>
      <c r="R8" s="31"/>
      <c r="S8" s="28">
        <f t="shared" si="3"/>
        <v>2500</v>
      </c>
      <c r="T8" s="28">
        <f t="shared" si="4"/>
        <v>0</v>
      </c>
      <c r="U8" s="28">
        <f t="shared" si="5"/>
        <v>0</v>
      </c>
      <c r="V8" s="28">
        <f t="shared" si="6"/>
        <v>2500</v>
      </c>
      <c r="W8" s="31">
        <f t="shared" si="9"/>
        <v>163332</v>
      </c>
      <c r="X8" s="32">
        <f t="shared" si="7"/>
        <v>0</v>
      </c>
      <c r="Y8" s="14" t="s">
        <v>47</v>
      </c>
      <c r="Z8" s="732">
        <f ca="1">TODAY()+1</f>
        <v>41938</v>
      </c>
      <c r="AA8" s="55" t="s">
        <v>48</v>
      </c>
      <c r="AB8" s="308" t="s">
        <v>164</v>
      </c>
      <c r="AC8" s="17"/>
      <c r="AD8" s="651"/>
      <c r="AE8" s="651"/>
      <c r="AF8" s="651"/>
      <c r="AG8" s="651"/>
      <c r="AH8" s="116"/>
      <c r="AI8" s="116"/>
      <c r="AJ8" s="510"/>
      <c r="AK8" s="510"/>
      <c r="AL8" s="510"/>
      <c r="AM8" s="510"/>
      <c r="AN8" s="116"/>
      <c r="AO8" s="116"/>
      <c r="AP8" s="116"/>
      <c r="AQ8" s="116"/>
      <c r="AR8" s="116"/>
      <c r="AS8" s="510"/>
      <c r="AT8" s="119"/>
      <c r="AU8" s="640"/>
      <c r="AV8" s="116"/>
      <c r="AW8" s="116"/>
      <c r="AX8" s="116"/>
    </row>
    <row r="9" spans="1:50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424</v>
      </c>
      <c r="I9" s="518">
        <v>1776</v>
      </c>
      <c r="J9" s="26"/>
      <c r="K9" s="27">
        <f t="shared" si="0"/>
        <v>2200</v>
      </c>
      <c r="L9" s="28">
        <f t="shared" si="8"/>
        <v>161132</v>
      </c>
      <c r="M9" s="29"/>
      <c r="N9" s="799"/>
      <c r="O9" s="30">
        <f t="shared" si="1"/>
        <v>1.3994910941475827E-2</v>
      </c>
      <c r="P9" s="802"/>
      <c r="Q9" s="31">
        <f t="shared" si="2"/>
        <v>0</v>
      </c>
      <c r="R9" s="31"/>
      <c r="S9" s="28">
        <f t="shared" si="3"/>
        <v>424</v>
      </c>
      <c r="T9" s="28">
        <f t="shared" si="4"/>
        <v>1776</v>
      </c>
      <c r="U9" s="28">
        <f t="shared" si="5"/>
        <v>0</v>
      </c>
      <c r="V9" s="28">
        <f t="shared" si="6"/>
        <v>2200</v>
      </c>
      <c r="W9" s="31">
        <f t="shared" si="9"/>
        <v>161132</v>
      </c>
      <c r="X9" s="32">
        <f t="shared" si="7"/>
        <v>0</v>
      </c>
      <c r="Y9" s="14" t="s">
        <v>189</v>
      </c>
      <c r="Z9" s="58">
        <v>498200</v>
      </c>
      <c r="AA9" s="59">
        <f>Z9*14.65/14.73</f>
        <v>495494.22946367954</v>
      </c>
      <c r="AB9" s="309">
        <v>0</v>
      </c>
      <c r="AC9" s="17" t="s">
        <v>165</v>
      </c>
      <c r="AD9" s="651"/>
      <c r="AE9" s="651"/>
      <c r="AF9" s="651"/>
      <c r="AG9" s="651"/>
      <c r="AH9" s="651" t="s">
        <v>90</v>
      </c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510"/>
      <c r="AT9" s="119"/>
      <c r="AU9" s="640"/>
      <c r="AV9" s="116"/>
      <c r="AW9" s="116"/>
      <c r="AX9" s="116"/>
    </row>
    <row r="10" spans="1:50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518"/>
      <c r="J10" s="26"/>
      <c r="K10" s="27">
        <f t="shared" si="0"/>
        <v>20000</v>
      </c>
      <c r="L10" s="28">
        <f t="shared" si="8"/>
        <v>141132</v>
      </c>
      <c r="M10" s="29"/>
      <c r="N10" s="799"/>
      <c r="O10" s="30">
        <f t="shared" si="1"/>
        <v>0.1272264631043257</v>
      </c>
      <c r="P10" s="802"/>
      <c r="Q10" s="31">
        <f t="shared" si="2"/>
        <v>0</v>
      </c>
      <c r="R10" s="31">
        <v>0</v>
      </c>
      <c r="S10" s="28">
        <f t="shared" si="3"/>
        <v>20000</v>
      </c>
      <c r="T10" s="28">
        <f t="shared" si="4"/>
        <v>0</v>
      </c>
      <c r="U10" s="28">
        <f t="shared" si="5"/>
        <v>0</v>
      </c>
      <c r="V10" s="28">
        <f t="shared" si="6"/>
        <v>20000</v>
      </c>
      <c r="W10" s="31">
        <f t="shared" si="9"/>
        <v>141132</v>
      </c>
      <c r="X10" s="32">
        <f t="shared" si="7"/>
        <v>0</v>
      </c>
      <c r="Y10" s="14" t="s">
        <v>191</v>
      </c>
      <c r="Z10" s="58">
        <f>ROUND((Z9*Z30),0)</f>
        <v>496818</v>
      </c>
      <c r="AA10" s="59">
        <f>Z10*14.65/14.73</f>
        <v>494119.73523421586</v>
      </c>
      <c r="AB10" s="310">
        <f>AB9*Z28</f>
        <v>0</v>
      </c>
      <c r="AC10" s="17" t="s">
        <v>166</v>
      </c>
      <c r="AD10" s="651"/>
      <c r="AE10" s="651"/>
      <c r="AF10" s="651"/>
      <c r="AG10" s="651"/>
      <c r="AH10" s="652"/>
      <c r="AI10" s="116"/>
      <c r="AJ10" s="103"/>
      <c r="AK10" s="116"/>
      <c r="AL10" s="116"/>
      <c r="AM10" s="116"/>
      <c r="AN10" s="116"/>
      <c r="AO10" s="116"/>
      <c r="AP10" s="116"/>
      <c r="AQ10" s="116"/>
      <c r="AR10" s="116"/>
      <c r="AS10" s="510"/>
      <c r="AT10" s="119"/>
      <c r="AU10" s="640"/>
      <c r="AV10" s="116"/>
      <c r="AW10" s="116"/>
      <c r="AX10" s="116"/>
    </row>
    <row r="11" spans="1:50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8"/>
        <v>123132</v>
      </c>
      <c r="M11" s="29"/>
      <c r="N11" s="799"/>
      <c r="O11" s="30">
        <f t="shared" si="1"/>
        <v>0.11450381679389313</v>
      </c>
      <c r="P11" s="802"/>
      <c r="Q11" s="31">
        <f t="shared" si="2"/>
        <v>0</v>
      </c>
      <c r="R11" s="31">
        <v>0</v>
      </c>
      <c r="S11" s="28">
        <f t="shared" si="3"/>
        <v>18000</v>
      </c>
      <c r="T11" s="28">
        <f t="shared" si="4"/>
        <v>0</v>
      </c>
      <c r="U11" s="28">
        <f t="shared" si="5"/>
        <v>0</v>
      </c>
      <c r="V11" s="28">
        <f t="shared" si="6"/>
        <v>18000</v>
      </c>
      <c r="W11" s="31">
        <f t="shared" si="9"/>
        <v>123132</v>
      </c>
      <c r="X11" s="32">
        <f t="shared" si="7"/>
        <v>0</v>
      </c>
      <c r="Y11" s="14" t="s">
        <v>59</v>
      </c>
      <c r="Z11" s="58">
        <v>10000</v>
      </c>
      <c r="AA11" s="59">
        <f>ROUND(Z11/Z27,0)*14.65/14.73</f>
        <v>9973.5369993211134</v>
      </c>
      <c r="AB11" s="35"/>
      <c r="AC11" s="65"/>
      <c r="AD11" s="651"/>
      <c r="AE11" s="651"/>
      <c r="AF11" s="651"/>
      <c r="AG11" s="651"/>
      <c r="AH11" s="652"/>
      <c r="AI11" s="103"/>
      <c r="AJ11" s="116"/>
      <c r="AK11" s="116"/>
      <c r="AL11" s="116"/>
      <c r="AM11" s="116"/>
      <c r="AN11" s="116"/>
      <c r="AO11" s="116"/>
      <c r="AP11" s="116"/>
      <c r="AQ11" s="116"/>
      <c r="AR11" s="116"/>
      <c r="AS11" s="510"/>
      <c r="AT11" s="119"/>
      <c r="AU11" s="640"/>
      <c r="AV11" s="116"/>
      <c r="AW11" s="116"/>
      <c r="AX11" s="116"/>
    </row>
    <row r="12" spans="1:50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8"/>
        <v>119532</v>
      </c>
      <c r="M12" s="29"/>
      <c r="N12" s="799"/>
      <c r="O12" s="30">
        <f t="shared" si="1"/>
        <v>2.2900763358778626E-2</v>
      </c>
      <c r="P12" s="802"/>
      <c r="Q12" s="31">
        <f t="shared" si="2"/>
        <v>0</v>
      </c>
      <c r="R12" s="31">
        <v>0</v>
      </c>
      <c r="S12" s="28">
        <f t="shared" si="3"/>
        <v>3600</v>
      </c>
      <c r="T12" s="28">
        <f t="shared" si="4"/>
        <v>0</v>
      </c>
      <c r="U12" s="28">
        <f t="shared" si="5"/>
        <v>0</v>
      </c>
      <c r="V12" s="28">
        <f t="shared" si="6"/>
        <v>3600</v>
      </c>
      <c r="W12" s="31">
        <f t="shared" si="9"/>
        <v>119532</v>
      </c>
      <c r="X12" s="32">
        <f t="shared" si="7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651"/>
      <c r="AE12" s="651"/>
      <c r="AF12" s="651"/>
      <c r="AG12" s="651"/>
      <c r="AH12" s="653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510"/>
      <c r="AT12" s="119"/>
      <c r="AU12" s="640"/>
      <c r="AV12" s="116"/>
      <c r="AW12" s="116"/>
      <c r="AX12" s="116"/>
    </row>
    <row r="13" spans="1:50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8"/>
        <v>113532</v>
      </c>
      <c r="M13" s="29"/>
      <c r="N13" s="799"/>
      <c r="O13" s="30">
        <f t="shared" si="1"/>
        <v>3.8167938931297711E-2</v>
      </c>
      <c r="P13" s="802"/>
      <c r="Q13" s="31">
        <f t="shared" si="2"/>
        <v>0</v>
      </c>
      <c r="R13" s="31">
        <v>0</v>
      </c>
      <c r="S13" s="28">
        <f t="shared" si="3"/>
        <v>6000</v>
      </c>
      <c r="T13" s="28">
        <f t="shared" si="4"/>
        <v>0</v>
      </c>
      <c r="U13" s="28">
        <f t="shared" si="5"/>
        <v>0</v>
      </c>
      <c r="V13" s="28">
        <f t="shared" si="6"/>
        <v>6000</v>
      </c>
      <c r="W13" s="31">
        <f t="shared" si="9"/>
        <v>113532</v>
      </c>
      <c r="X13" s="32">
        <f t="shared" si="7"/>
        <v>0</v>
      </c>
      <c r="Y13" s="14" t="s">
        <v>67</v>
      </c>
      <c r="Z13" s="67">
        <f>Z14/Z30</f>
        <v>488172.14759707922</v>
      </c>
      <c r="AA13" s="35"/>
      <c r="AB13" s="35"/>
      <c r="AC13" s="35"/>
      <c r="AD13" s="651"/>
      <c r="AE13" s="651"/>
      <c r="AF13" s="651"/>
      <c r="AG13" s="651"/>
      <c r="AH13" s="116"/>
      <c r="AI13" s="116"/>
      <c r="AJ13" s="116"/>
      <c r="AK13" s="643"/>
      <c r="AL13" s="464"/>
      <c r="AM13" s="464"/>
      <c r="AN13" s="116"/>
      <c r="AO13" s="464"/>
      <c r="AP13" s="116"/>
      <c r="AQ13" s="116"/>
      <c r="AR13" s="116"/>
      <c r="AS13" s="510"/>
      <c r="AT13" s="119"/>
      <c r="AU13" s="640"/>
      <c r="AV13" s="116"/>
      <c r="AW13" s="116"/>
      <c r="AX13" s="116"/>
    </row>
    <row r="14" spans="1:50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/>
      <c r="I14" s="26">
        <v>0</v>
      </c>
      <c r="J14" s="26"/>
      <c r="K14" s="27">
        <f t="shared" si="0"/>
        <v>0</v>
      </c>
      <c r="L14" s="28">
        <f t="shared" si="8"/>
        <v>113532</v>
      </c>
      <c r="M14" s="29"/>
      <c r="N14" s="799"/>
      <c r="O14" s="30">
        <f t="shared" si="1"/>
        <v>0</v>
      </c>
      <c r="P14" s="802"/>
      <c r="Q14" s="31">
        <f t="shared" si="2"/>
        <v>0</v>
      </c>
      <c r="R14" s="31">
        <v>0</v>
      </c>
      <c r="S14" s="28">
        <f t="shared" si="3"/>
        <v>0</v>
      </c>
      <c r="T14" s="28">
        <f t="shared" si="4"/>
        <v>0</v>
      </c>
      <c r="U14" s="28">
        <f t="shared" si="5"/>
        <v>0</v>
      </c>
      <c r="V14" s="28">
        <f t="shared" si="6"/>
        <v>0</v>
      </c>
      <c r="W14" s="31">
        <f t="shared" si="9"/>
        <v>113532</v>
      </c>
      <c r="X14" s="32">
        <f t="shared" si="7"/>
        <v>0</v>
      </c>
      <c r="Y14" s="14" t="s">
        <v>70</v>
      </c>
      <c r="Z14" s="67">
        <f>+Z10-(Z11+Z12)</f>
        <v>486818</v>
      </c>
      <c r="AA14" s="65"/>
      <c r="AB14" s="68"/>
      <c r="AC14" s="69"/>
      <c r="AD14" s="57"/>
      <c r="AE14" s="34"/>
      <c r="AG14" s="70"/>
      <c r="AH14" s="650"/>
      <c r="AI14" s="650"/>
      <c r="AJ14" s="116"/>
      <c r="AK14" s="643"/>
      <c r="AL14" s="464"/>
      <c r="AM14" s="464"/>
      <c r="AN14" s="116"/>
      <c r="AO14" s="464"/>
      <c r="AP14" s="116"/>
      <c r="AQ14" s="116"/>
      <c r="AR14" s="116"/>
      <c r="AS14" s="510"/>
      <c r="AT14" s="119"/>
      <c r="AU14" s="640"/>
      <c r="AV14" s="116"/>
      <c r="AW14" s="116"/>
      <c r="AX14" s="116"/>
    </row>
    <row r="15" spans="1:50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/>
      <c r="I15" s="26"/>
      <c r="J15" s="26"/>
      <c r="K15" s="27">
        <f t="shared" si="0"/>
        <v>0</v>
      </c>
      <c r="L15" s="28">
        <f t="shared" si="8"/>
        <v>113532</v>
      </c>
      <c r="M15" s="29"/>
      <c r="N15" s="799"/>
      <c r="O15" s="30">
        <f t="shared" si="1"/>
        <v>0</v>
      </c>
      <c r="P15" s="802"/>
      <c r="Q15" s="31">
        <f t="shared" si="2"/>
        <v>0</v>
      </c>
      <c r="R15" s="31">
        <v>0</v>
      </c>
      <c r="S15" s="28">
        <f t="shared" si="3"/>
        <v>0</v>
      </c>
      <c r="T15" s="28">
        <f t="shared" si="4"/>
        <v>0</v>
      </c>
      <c r="U15" s="28">
        <f t="shared" si="5"/>
        <v>0</v>
      </c>
      <c r="V15" s="28">
        <f t="shared" si="6"/>
        <v>0</v>
      </c>
      <c r="W15" s="31">
        <f t="shared" si="9"/>
        <v>113532</v>
      </c>
      <c r="X15" s="32">
        <f t="shared" si="7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650"/>
      <c r="AI15" s="116"/>
      <c r="AJ15" s="116"/>
      <c r="AK15" s="643"/>
      <c r="AL15" s="464"/>
      <c r="AM15" s="464"/>
      <c r="AN15" s="116"/>
      <c r="AO15" s="464"/>
      <c r="AP15" s="116"/>
      <c r="AQ15" s="116"/>
      <c r="AR15" s="116"/>
      <c r="AS15" s="510"/>
      <c r="AT15" s="119"/>
      <c r="AU15" s="640"/>
      <c r="AV15" s="116"/>
      <c r="AW15" s="116"/>
      <c r="AX15" s="116"/>
    </row>
    <row r="16" spans="1:50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/>
      <c r="I16" s="26"/>
      <c r="J16" s="26"/>
      <c r="K16" s="27">
        <f t="shared" si="0"/>
        <v>0</v>
      </c>
      <c r="L16" s="28">
        <f t="shared" si="8"/>
        <v>113532</v>
      </c>
      <c r="M16" s="29"/>
      <c r="N16" s="799"/>
      <c r="O16" s="30">
        <f t="shared" si="1"/>
        <v>0</v>
      </c>
      <c r="P16" s="802"/>
      <c r="Q16" s="31">
        <v>0</v>
      </c>
      <c r="R16" s="31">
        <v>0</v>
      </c>
      <c r="S16" s="28">
        <f t="shared" si="3"/>
        <v>0</v>
      </c>
      <c r="T16" s="28">
        <f t="shared" si="4"/>
        <v>0</v>
      </c>
      <c r="U16" s="28">
        <f t="shared" si="5"/>
        <v>0</v>
      </c>
      <c r="V16" s="28">
        <f t="shared" si="6"/>
        <v>0</v>
      </c>
      <c r="W16" s="31">
        <f t="shared" si="9"/>
        <v>113532</v>
      </c>
      <c r="X16" s="32">
        <f t="shared" si="7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650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510"/>
      <c r="AT16" s="119"/>
      <c r="AU16" s="640"/>
      <c r="AV16" s="116"/>
      <c r="AW16" s="116"/>
      <c r="AX16" s="116"/>
    </row>
    <row r="17" spans="1:50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26"/>
      <c r="I17" s="518">
        <v>3000</v>
      </c>
      <c r="J17" s="26"/>
      <c r="K17" s="27">
        <f t="shared" si="0"/>
        <v>3000</v>
      </c>
      <c r="L17" s="28">
        <f t="shared" si="8"/>
        <v>110532</v>
      </c>
      <c r="M17" s="29"/>
      <c r="N17" s="799"/>
      <c r="O17" s="30">
        <f t="shared" si="1"/>
        <v>1.9083969465648856E-2</v>
      </c>
      <c r="P17" s="802"/>
      <c r="Q17" s="31">
        <f t="shared" ref="Q17:Q29" si="10">IF($P$2=0,0,(-($P$2*O17)+K17)-K17)</f>
        <v>0</v>
      </c>
      <c r="R17" s="31">
        <v>0</v>
      </c>
      <c r="S17" s="28">
        <f t="shared" si="3"/>
        <v>0</v>
      </c>
      <c r="T17" s="28">
        <f t="shared" si="4"/>
        <v>3000</v>
      </c>
      <c r="U17" s="28">
        <f t="shared" si="5"/>
        <v>0</v>
      </c>
      <c r="V17" s="28">
        <f t="shared" si="6"/>
        <v>3000</v>
      </c>
      <c r="W17" s="31">
        <f t="shared" si="9"/>
        <v>110532</v>
      </c>
      <c r="X17" s="32">
        <f t="shared" si="7"/>
        <v>0</v>
      </c>
      <c r="AA17" s="35"/>
      <c r="AB17" s="790">
        <f>+Z61-Z24-((Z12+Z11)*0.43)</f>
        <v>-11732</v>
      </c>
      <c r="AC17" s="791"/>
      <c r="AD17" s="56"/>
      <c r="AE17" s="50"/>
      <c r="AF17" s="367"/>
      <c r="AG17" s="70"/>
      <c r="AH17" s="650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510"/>
      <c r="AT17" s="119"/>
      <c r="AU17" s="640"/>
      <c r="AV17" s="116"/>
      <c r="AW17" s="116"/>
      <c r="AX17" s="116"/>
    </row>
    <row r="18" spans="1:50" ht="18" customHeight="1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253</v>
      </c>
      <c r="J18" s="26"/>
      <c r="K18" s="27">
        <f t="shared" si="0"/>
        <v>253</v>
      </c>
      <c r="L18" s="28">
        <f t="shared" si="8"/>
        <v>110279</v>
      </c>
      <c r="M18" s="29"/>
      <c r="N18" s="799"/>
      <c r="O18" s="30"/>
      <c r="P18" s="802"/>
      <c r="Q18" s="31">
        <f t="shared" si="10"/>
        <v>0</v>
      </c>
      <c r="R18" s="31">
        <v>0</v>
      </c>
      <c r="S18" s="28">
        <f t="shared" si="3"/>
        <v>0</v>
      </c>
      <c r="T18" s="28">
        <f t="shared" si="4"/>
        <v>253</v>
      </c>
      <c r="U18" s="28">
        <f t="shared" si="5"/>
        <v>0</v>
      </c>
      <c r="V18" s="28">
        <f t="shared" si="6"/>
        <v>253</v>
      </c>
      <c r="W18" s="31">
        <f t="shared" si="9"/>
        <v>110279</v>
      </c>
      <c r="X18" s="32"/>
      <c r="Y18" s="14" t="s">
        <v>77</v>
      </c>
      <c r="Z18" s="71">
        <f>ROUND(Z14*0.43,0)</f>
        <v>209332</v>
      </c>
      <c r="AA18" s="35"/>
      <c r="AB18" s="73"/>
      <c r="AC18" s="73"/>
      <c r="AD18" s="56"/>
      <c r="AE18" s="50"/>
      <c r="AF18" s="367"/>
      <c r="AG18" s="70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510"/>
      <c r="AT18" s="119"/>
      <c r="AU18" s="640"/>
      <c r="AV18" s="116"/>
      <c r="AW18" s="116"/>
      <c r="AX18" s="116"/>
    </row>
    <row r="19" spans="1:50" ht="18" customHeight="1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2747</v>
      </c>
      <c r="I19" s="26"/>
      <c r="J19" s="26"/>
      <c r="K19" s="27">
        <f t="shared" si="0"/>
        <v>2747</v>
      </c>
      <c r="L19" s="28">
        <f t="shared" si="8"/>
        <v>107532</v>
      </c>
      <c r="M19" s="29"/>
      <c r="N19" s="799"/>
      <c r="O19" s="30">
        <f>+K19/$N$2</f>
        <v>1.7474554707379134E-2</v>
      </c>
      <c r="P19" s="802"/>
      <c r="Q19" s="31">
        <f t="shared" si="10"/>
        <v>0</v>
      </c>
      <c r="R19" s="31">
        <v>0</v>
      </c>
      <c r="S19" s="28">
        <f t="shared" si="3"/>
        <v>2747</v>
      </c>
      <c r="T19" s="28">
        <f t="shared" si="4"/>
        <v>0</v>
      </c>
      <c r="U19" s="28">
        <f t="shared" si="5"/>
        <v>0</v>
      </c>
      <c r="V19" s="28">
        <f t="shared" si="6"/>
        <v>2747</v>
      </c>
      <c r="W19" s="31">
        <f t="shared" si="9"/>
        <v>107532</v>
      </c>
      <c r="X19" s="32">
        <f>W19-L19</f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H19" s="116"/>
      <c r="AI19" s="116"/>
      <c r="AJ19" s="119"/>
      <c r="AK19" s="510"/>
      <c r="AL19" s="116"/>
      <c r="AM19" s="116"/>
      <c r="AN19" s="116"/>
      <c r="AO19" s="116"/>
      <c r="AP19" s="116"/>
      <c r="AQ19" s="116"/>
      <c r="AR19" s="116"/>
      <c r="AS19" s="510"/>
      <c r="AT19" s="119"/>
      <c r="AU19" s="640"/>
      <c r="AV19" s="116"/>
      <c r="AW19" s="116"/>
      <c r="AX19" s="116"/>
    </row>
    <row r="20" spans="1:50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8"/>
        <v>106032</v>
      </c>
      <c r="M20" s="29"/>
      <c r="N20" s="799"/>
      <c r="O20" s="30">
        <f>+K20/$N$2</f>
        <v>9.5419847328244278E-3</v>
      </c>
      <c r="P20" s="802"/>
      <c r="Q20" s="31">
        <f t="shared" si="10"/>
        <v>0</v>
      </c>
      <c r="R20" s="31">
        <v>0</v>
      </c>
      <c r="S20" s="28">
        <f t="shared" si="3"/>
        <v>1500</v>
      </c>
      <c r="T20" s="28">
        <f t="shared" si="4"/>
        <v>0</v>
      </c>
      <c r="U20" s="28">
        <f t="shared" si="5"/>
        <v>0</v>
      </c>
      <c r="V20" s="28">
        <f t="shared" si="6"/>
        <v>1500</v>
      </c>
      <c r="W20" s="31">
        <f t="shared" si="9"/>
        <v>106032</v>
      </c>
      <c r="X20" s="32"/>
      <c r="Y20" s="14"/>
      <c r="Z20" s="72"/>
      <c r="AA20" s="35"/>
      <c r="AB20" s="35"/>
      <c r="AC20" s="35"/>
      <c r="AD20" s="35"/>
      <c r="AE20" s="56"/>
      <c r="AF20" s="367"/>
      <c r="AH20" s="116"/>
      <c r="AI20" s="116"/>
      <c r="AJ20" s="119"/>
      <c r="AK20" s="510"/>
      <c r="AL20" s="116"/>
      <c r="AM20" s="116"/>
      <c r="AN20" s="116"/>
      <c r="AO20" s="116"/>
      <c r="AP20" s="116"/>
      <c r="AQ20" s="116"/>
      <c r="AR20" s="116"/>
      <c r="AS20" s="510"/>
      <c r="AT20" s="119"/>
      <c r="AU20" s="640"/>
      <c r="AV20" s="116"/>
      <c r="AW20" s="116"/>
      <c r="AX20" s="116"/>
    </row>
    <row r="21" spans="1:50" ht="18" customHeight="1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8"/>
        <v>106032</v>
      </c>
      <c r="M21" s="29"/>
      <c r="N21" s="799"/>
      <c r="O21" s="30"/>
      <c r="P21" s="802"/>
      <c r="Q21" s="31">
        <f t="shared" si="10"/>
        <v>0</v>
      </c>
      <c r="R21" s="31">
        <v>0</v>
      </c>
      <c r="S21" s="28">
        <f t="shared" si="3"/>
        <v>0</v>
      </c>
      <c r="T21" s="28">
        <f t="shared" si="4"/>
        <v>0</v>
      </c>
      <c r="U21" s="28">
        <f t="shared" si="5"/>
        <v>0</v>
      </c>
      <c r="V21" s="28">
        <f t="shared" si="6"/>
        <v>0</v>
      </c>
      <c r="W21" s="31">
        <f t="shared" si="9"/>
        <v>106032</v>
      </c>
      <c r="X21" s="32"/>
      <c r="Y21" s="457"/>
      <c r="Z21" s="181"/>
      <c r="AA21" s="35"/>
      <c r="AB21" s="35"/>
      <c r="AC21" s="35"/>
      <c r="AD21" s="35"/>
      <c r="AE21" s="56"/>
      <c r="AF21" s="367"/>
      <c r="AH21" s="116"/>
      <c r="AI21" s="116"/>
      <c r="AJ21" s="119"/>
      <c r="AK21" s="510"/>
      <c r="AL21" s="116"/>
      <c r="AM21" s="116"/>
      <c r="AN21" s="116"/>
      <c r="AO21" s="116"/>
      <c r="AP21" s="116"/>
      <c r="AQ21" s="116"/>
      <c r="AR21" s="116"/>
      <c r="AS21" s="510"/>
      <c r="AT21" s="119"/>
      <c r="AU21" s="640"/>
      <c r="AV21" s="116"/>
      <c r="AW21" s="116"/>
      <c r="AX21" s="116"/>
    </row>
    <row r="22" spans="1:50" ht="18.75" customHeight="1" x14ac:dyDescent="0.25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8"/>
        <v>98532</v>
      </c>
      <c r="M22" s="29"/>
      <c r="N22" s="799"/>
      <c r="O22" s="30">
        <f>+K22/$N$2</f>
        <v>4.7709923664122141E-2</v>
      </c>
      <c r="P22" s="802"/>
      <c r="Q22" s="31">
        <f t="shared" si="10"/>
        <v>0</v>
      </c>
      <c r="R22" s="31">
        <v>0</v>
      </c>
      <c r="S22" s="28">
        <f t="shared" si="3"/>
        <v>7500</v>
      </c>
      <c r="T22" s="28">
        <f t="shared" si="4"/>
        <v>0</v>
      </c>
      <c r="U22" s="28">
        <f t="shared" si="5"/>
        <v>0</v>
      </c>
      <c r="V22" s="28">
        <f t="shared" si="6"/>
        <v>7500</v>
      </c>
      <c r="W22" s="31">
        <f t="shared" si="9"/>
        <v>98532</v>
      </c>
      <c r="X22" s="32">
        <f>W22-L22</f>
        <v>0</v>
      </c>
      <c r="Y22" s="14"/>
      <c r="Z22" s="679"/>
      <c r="AA22" s="196"/>
      <c r="AB22" s="196"/>
      <c r="AC22" s="196"/>
      <c r="AD22" s="196"/>
      <c r="AE22" s="683"/>
      <c r="AF22" s="684"/>
      <c r="AG22" s="70"/>
      <c r="AH22" s="116"/>
      <c r="AI22" s="116"/>
      <c r="AJ22" s="121"/>
      <c r="AK22" s="510"/>
      <c r="AL22" s="116"/>
      <c r="AM22" s="116"/>
      <c r="AN22" s="116"/>
      <c r="AO22" s="116"/>
      <c r="AP22" s="116"/>
      <c r="AQ22" s="116"/>
      <c r="AR22" s="116"/>
      <c r="AS22" s="510"/>
      <c r="AT22" s="119"/>
      <c r="AU22" s="640"/>
      <c r="AV22" s="116"/>
      <c r="AW22" s="116"/>
      <c r="AX22" s="116"/>
    </row>
    <row r="23" spans="1:50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8"/>
        <v>98532</v>
      </c>
      <c r="M23" s="29"/>
      <c r="N23" s="799"/>
      <c r="O23" s="30"/>
      <c r="P23" s="802"/>
      <c r="Q23" s="31">
        <f t="shared" si="10"/>
        <v>0</v>
      </c>
      <c r="R23" s="31"/>
      <c r="S23" s="28">
        <f t="shared" si="3"/>
        <v>0</v>
      </c>
      <c r="T23" s="28">
        <f t="shared" si="4"/>
        <v>0</v>
      </c>
      <c r="U23" s="28">
        <f t="shared" si="5"/>
        <v>0</v>
      </c>
      <c r="V23" s="28">
        <f t="shared" si="6"/>
        <v>0</v>
      </c>
      <c r="W23" s="31">
        <f t="shared" si="9"/>
        <v>98532</v>
      </c>
      <c r="X23" s="32"/>
      <c r="Y23" s="14"/>
      <c r="Z23" s="679"/>
      <c r="AA23" s="196"/>
      <c r="AB23" s="196"/>
      <c r="AC23" s="196"/>
      <c r="AD23" s="196"/>
      <c r="AE23" s="683"/>
      <c r="AF23" s="684"/>
      <c r="AG23" s="70"/>
      <c r="AH23" s="116"/>
      <c r="AI23" s="116"/>
      <c r="AJ23" s="121"/>
      <c r="AK23" s="510"/>
      <c r="AL23" s="116"/>
      <c r="AM23" s="116"/>
      <c r="AN23" s="116"/>
      <c r="AO23" s="116"/>
      <c r="AP23" s="116"/>
      <c r="AQ23" s="116"/>
      <c r="AR23" s="116"/>
      <c r="AS23" s="510"/>
      <c r="AT23" s="119"/>
      <c r="AU23" s="640"/>
      <c r="AV23" s="116"/>
      <c r="AW23" s="116"/>
      <c r="AX23" s="116"/>
    </row>
    <row r="24" spans="1:50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>
        <v>0</v>
      </c>
      <c r="I24" s="26"/>
      <c r="J24" s="26"/>
      <c r="K24" s="27">
        <f t="shared" si="0"/>
        <v>0</v>
      </c>
      <c r="L24" s="28">
        <f t="shared" si="8"/>
        <v>98532</v>
      </c>
      <c r="M24" s="29"/>
      <c r="N24" s="799"/>
      <c r="O24" s="30">
        <f t="shared" ref="O24:O29" si="11">+K24/$N$2</f>
        <v>0</v>
      </c>
      <c r="P24" s="802"/>
      <c r="Q24" s="31">
        <f t="shared" si="10"/>
        <v>0</v>
      </c>
      <c r="R24" s="31">
        <v>0</v>
      </c>
      <c r="S24" s="28">
        <f t="shared" si="3"/>
        <v>0</v>
      </c>
      <c r="T24" s="28">
        <f t="shared" si="4"/>
        <v>0</v>
      </c>
      <c r="U24" s="28">
        <f t="shared" si="5"/>
        <v>0</v>
      </c>
      <c r="V24" s="28">
        <f t="shared" si="6"/>
        <v>0</v>
      </c>
      <c r="W24" s="31">
        <f t="shared" si="9"/>
        <v>98532</v>
      </c>
      <c r="X24" s="32">
        <f t="shared" ref="X24:X39" si="12">W24-L24</f>
        <v>0</v>
      </c>
      <c r="Y24" s="74" t="s">
        <v>169</v>
      </c>
      <c r="Z24" s="680">
        <f>+Z18+Z19</f>
        <v>209332</v>
      </c>
      <c r="AA24" s="556"/>
      <c r="AB24" s="685"/>
      <c r="AC24" s="196"/>
      <c r="AD24" s="196"/>
      <c r="AE24" s="683"/>
      <c r="AF24" s="619"/>
      <c r="AG24" s="70"/>
      <c r="AH24" s="116"/>
      <c r="AI24" s="116"/>
      <c r="AJ24" s="116"/>
      <c r="AK24" s="510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</row>
    <row r="25" spans="1:50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8"/>
        <v>86532</v>
      </c>
      <c r="M25" s="29"/>
      <c r="N25" s="799"/>
      <c r="O25" s="30">
        <f t="shared" si="11"/>
        <v>7.6335877862595422E-2</v>
      </c>
      <c r="P25" s="802"/>
      <c r="Q25" s="31">
        <f t="shared" si="10"/>
        <v>0</v>
      </c>
      <c r="R25" s="31"/>
      <c r="S25" s="28">
        <f t="shared" si="3"/>
        <v>12000</v>
      </c>
      <c r="T25" s="28">
        <f t="shared" si="4"/>
        <v>0</v>
      </c>
      <c r="U25" s="28">
        <f t="shared" si="5"/>
        <v>0</v>
      </c>
      <c r="V25" s="28">
        <f t="shared" si="6"/>
        <v>12000</v>
      </c>
      <c r="W25" s="31">
        <f t="shared" si="9"/>
        <v>86532</v>
      </c>
      <c r="X25" s="32">
        <f t="shared" si="12"/>
        <v>0</v>
      </c>
      <c r="Z25" s="20"/>
      <c r="AA25" s="68"/>
      <c r="AB25" s="686"/>
      <c r="AC25" s="686"/>
      <c r="AD25" s="686"/>
      <c r="AE25" s="686"/>
      <c r="AF25" s="687"/>
      <c r="AG25" s="17"/>
      <c r="AH25" s="116"/>
      <c r="AI25" s="116"/>
      <c r="AJ25" s="116"/>
      <c r="AK25" s="510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</row>
    <row r="26" spans="1:50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607">
        <v>34400</v>
      </c>
      <c r="K26" s="442">
        <f t="shared" si="0"/>
        <v>34400</v>
      </c>
      <c r="L26" s="28">
        <f t="shared" si="8"/>
        <v>52132</v>
      </c>
      <c r="M26" s="86"/>
      <c r="N26" s="800"/>
      <c r="O26" s="87">
        <f t="shared" si="11"/>
        <v>0.21882951653944022</v>
      </c>
      <c r="P26" s="803"/>
      <c r="Q26" s="144">
        <f t="shared" si="10"/>
        <v>0</v>
      </c>
      <c r="R26" s="144"/>
      <c r="S26" s="423">
        <f t="shared" si="3"/>
        <v>0</v>
      </c>
      <c r="T26" s="423">
        <f t="shared" si="4"/>
        <v>0</v>
      </c>
      <c r="U26" s="423">
        <f t="shared" si="5"/>
        <v>34400</v>
      </c>
      <c r="V26" s="423">
        <f t="shared" si="6"/>
        <v>34400</v>
      </c>
      <c r="W26" s="144">
        <f t="shared" si="9"/>
        <v>52132</v>
      </c>
      <c r="X26" s="32">
        <f t="shared" si="12"/>
        <v>0</v>
      </c>
      <c r="Y26" s="81" t="s">
        <v>84</v>
      </c>
      <c r="Z26" s="34"/>
      <c r="AA26" s="688"/>
      <c r="AB26" s="686"/>
      <c r="AC26" s="689"/>
      <c r="AD26" s="689"/>
      <c r="AE26" s="689"/>
      <c r="AF26" s="196"/>
      <c r="AH26" s="80"/>
      <c r="AK26" s="19"/>
    </row>
    <row r="27" spans="1:50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8"/>
        <v>52132</v>
      </c>
      <c r="M27" s="95"/>
      <c r="N27" s="804">
        <f>SUM(K27:K49)</f>
        <v>44700</v>
      </c>
      <c r="O27" s="96">
        <f t="shared" si="11"/>
        <v>0</v>
      </c>
      <c r="P27" s="805"/>
      <c r="Q27" s="97">
        <f t="shared" si="10"/>
        <v>0</v>
      </c>
      <c r="R27" s="157"/>
      <c r="S27" s="422">
        <f t="shared" si="3"/>
        <v>0</v>
      </c>
      <c r="T27" s="422">
        <f t="shared" si="4"/>
        <v>0</v>
      </c>
      <c r="U27" s="422">
        <f t="shared" si="5"/>
        <v>0</v>
      </c>
      <c r="V27" s="422">
        <f t="shared" si="6"/>
        <v>0</v>
      </c>
      <c r="W27" s="97">
        <f t="shared" si="9"/>
        <v>52132</v>
      </c>
      <c r="X27" s="32">
        <f t="shared" si="12"/>
        <v>0</v>
      </c>
      <c r="Y27" s="14" t="s">
        <v>17</v>
      </c>
      <c r="Z27" s="681">
        <v>0.99720759999999997</v>
      </c>
      <c r="AA27" s="145"/>
      <c r="AB27" s="686"/>
      <c r="AC27" s="686"/>
      <c r="AD27" s="686"/>
      <c r="AE27" s="196"/>
      <c r="AF27" s="196"/>
      <c r="AH27" s="80"/>
    </row>
    <row r="28" spans="1:50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8"/>
        <v>52132</v>
      </c>
      <c r="M28" s="29"/>
      <c r="N28" s="799"/>
      <c r="O28" s="30">
        <f t="shared" si="11"/>
        <v>0</v>
      </c>
      <c r="P28" s="802"/>
      <c r="Q28" s="31">
        <f t="shared" si="10"/>
        <v>0</v>
      </c>
      <c r="R28" s="31"/>
      <c r="S28" s="28">
        <f t="shared" si="3"/>
        <v>0</v>
      </c>
      <c r="T28" s="28">
        <f t="shared" si="4"/>
        <v>0</v>
      </c>
      <c r="U28" s="28">
        <f t="shared" si="5"/>
        <v>0</v>
      </c>
      <c r="V28" s="28">
        <f t="shared" si="6"/>
        <v>0</v>
      </c>
      <c r="W28" s="31">
        <f t="shared" si="9"/>
        <v>52132</v>
      </c>
      <c r="X28" s="32">
        <f t="shared" si="12"/>
        <v>0</v>
      </c>
      <c r="Y28" s="14" t="s">
        <v>7</v>
      </c>
      <c r="Z28" s="681">
        <v>0.99742098000000001</v>
      </c>
      <c r="AA28" s="145"/>
      <c r="AB28" s="686"/>
      <c r="AC28" s="686"/>
      <c r="AD28" s="68"/>
      <c r="AE28" s="196"/>
      <c r="AF28" s="196"/>
    </row>
    <row r="29" spans="1:50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8"/>
        <v>52132</v>
      </c>
      <c r="M29" s="29"/>
      <c r="N29" s="799"/>
      <c r="O29" s="30">
        <f t="shared" si="11"/>
        <v>0</v>
      </c>
      <c r="P29" s="802"/>
      <c r="Q29" s="31">
        <f t="shared" si="10"/>
        <v>0</v>
      </c>
      <c r="R29" s="31"/>
      <c r="S29" s="28">
        <f t="shared" si="3"/>
        <v>0</v>
      </c>
      <c r="T29" s="28">
        <f t="shared" si="4"/>
        <v>0</v>
      </c>
      <c r="U29" s="28">
        <f t="shared" si="5"/>
        <v>0</v>
      </c>
      <c r="V29" s="28">
        <f t="shared" si="6"/>
        <v>0</v>
      </c>
      <c r="W29" s="31">
        <f t="shared" si="9"/>
        <v>52132</v>
      </c>
      <c r="X29" s="32">
        <f t="shared" si="12"/>
        <v>0</v>
      </c>
      <c r="Y29" s="14" t="s">
        <v>8</v>
      </c>
      <c r="Z29" s="681">
        <v>0.997049677739131</v>
      </c>
      <c r="AA29" s="686"/>
      <c r="AB29" s="690"/>
      <c r="AC29" s="686"/>
      <c r="AD29" s="686"/>
      <c r="AE29" s="196"/>
      <c r="AF29" s="196"/>
      <c r="AG29" s="70"/>
    </row>
    <row r="30" spans="1:50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8"/>
        <v>52132</v>
      </c>
      <c r="M30" s="29"/>
      <c r="N30" s="799"/>
      <c r="O30" s="30">
        <f t="shared" ref="O30:O39" si="13">+K30/$N$27</f>
        <v>0</v>
      </c>
      <c r="P30" s="802"/>
      <c r="Q30" s="31">
        <f t="shared" ref="Q30:Q39" si="14">IF($P$30=0,0,(-($P$30*O30)+K30)-K30)</f>
        <v>0</v>
      </c>
      <c r="R30" s="31"/>
      <c r="S30" s="28">
        <f t="shared" si="3"/>
        <v>0</v>
      </c>
      <c r="T30" s="28">
        <f t="shared" si="4"/>
        <v>0</v>
      </c>
      <c r="U30" s="28">
        <f t="shared" si="5"/>
        <v>0</v>
      </c>
      <c r="V30" s="28">
        <f t="shared" si="6"/>
        <v>0</v>
      </c>
      <c r="W30" s="31">
        <f t="shared" si="9"/>
        <v>52132</v>
      </c>
      <c r="X30" s="32">
        <f t="shared" si="12"/>
        <v>0</v>
      </c>
      <c r="Y30" s="74" t="s">
        <v>89</v>
      </c>
      <c r="Z30" s="737">
        <f>AVERAGE(Z27:Z29)</f>
        <v>0.99722608591304374</v>
      </c>
      <c r="AA30" s="686"/>
      <c r="AB30" s="686"/>
      <c r="AC30" s="145"/>
      <c r="AD30" s="68"/>
      <c r="AE30" s="196"/>
      <c r="AF30" s="103"/>
      <c r="AG30" s="17"/>
    </row>
    <row r="31" spans="1:50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8"/>
        <v>52132</v>
      </c>
      <c r="M31" s="29"/>
      <c r="N31" s="799"/>
      <c r="O31" s="30">
        <f t="shared" si="13"/>
        <v>0</v>
      </c>
      <c r="P31" s="802"/>
      <c r="Q31" s="31">
        <f t="shared" si="14"/>
        <v>0</v>
      </c>
      <c r="R31" s="31"/>
      <c r="S31" s="28">
        <f t="shared" si="3"/>
        <v>0</v>
      </c>
      <c r="T31" s="28">
        <f t="shared" si="4"/>
        <v>0</v>
      </c>
      <c r="U31" s="28">
        <f t="shared" si="5"/>
        <v>0</v>
      </c>
      <c r="V31" s="28">
        <f t="shared" si="6"/>
        <v>0</v>
      </c>
      <c r="W31" s="31">
        <f t="shared" si="9"/>
        <v>52132</v>
      </c>
      <c r="X31" s="32">
        <f t="shared" si="12"/>
        <v>0</v>
      </c>
      <c r="Y31" s="35"/>
      <c r="Z31" s="34"/>
      <c r="AA31" s="104"/>
      <c r="AB31" s="35"/>
      <c r="AC31" s="35"/>
    </row>
    <row r="32" spans="1:50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8"/>
        <v>52132</v>
      </c>
      <c r="M32" s="29"/>
      <c r="N32" s="799"/>
      <c r="O32" s="30">
        <f t="shared" si="13"/>
        <v>0</v>
      </c>
      <c r="P32" s="802"/>
      <c r="Q32" s="31">
        <f t="shared" si="14"/>
        <v>0</v>
      </c>
      <c r="R32" s="31"/>
      <c r="S32" s="28">
        <f t="shared" si="3"/>
        <v>0</v>
      </c>
      <c r="T32" s="28">
        <f t="shared" si="4"/>
        <v>0</v>
      </c>
      <c r="U32" s="28">
        <f t="shared" si="5"/>
        <v>0</v>
      </c>
      <c r="V32" s="28">
        <f t="shared" si="6"/>
        <v>0</v>
      </c>
      <c r="W32" s="31">
        <f t="shared" si="9"/>
        <v>52132</v>
      </c>
      <c r="X32" s="32">
        <f t="shared" si="12"/>
        <v>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/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8"/>
        <v>52132</v>
      </c>
      <c r="M33" s="29"/>
      <c r="N33" s="799"/>
      <c r="O33" s="30">
        <f t="shared" si="13"/>
        <v>0</v>
      </c>
      <c r="P33" s="802"/>
      <c r="Q33" s="31">
        <f t="shared" si="14"/>
        <v>0</v>
      </c>
      <c r="R33" s="31"/>
      <c r="S33" s="28">
        <f t="shared" si="3"/>
        <v>0</v>
      </c>
      <c r="T33" s="28">
        <f t="shared" si="4"/>
        <v>0</v>
      </c>
      <c r="U33" s="28">
        <f t="shared" si="5"/>
        <v>0</v>
      </c>
      <c r="V33" s="28">
        <f t="shared" si="6"/>
        <v>0</v>
      </c>
      <c r="W33" s="31">
        <f t="shared" si="9"/>
        <v>52132</v>
      </c>
      <c r="X33" s="32">
        <f t="shared" si="12"/>
        <v>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/>
      <c r="AI33" s="51"/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8"/>
        <v>52132</v>
      </c>
      <c r="M34" s="29"/>
      <c r="N34" s="799"/>
      <c r="O34" s="30">
        <f t="shared" si="13"/>
        <v>0</v>
      </c>
      <c r="P34" s="802"/>
      <c r="Q34" s="31">
        <f t="shared" si="14"/>
        <v>0</v>
      </c>
      <c r="R34" s="31"/>
      <c r="S34" s="28">
        <f t="shared" si="3"/>
        <v>0</v>
      </c>
      <c r="T34" s="28">
        <f t="shared" si="4"/>
        <v>0</v>
      </c>
      <c r="U34" s="28">
        <f t="shared" si="5"/>
        <v>0</v>
      </c>
      <c r="V34" s="28">
        <f t="shared" si="6"/>
        <v>0</v>
      </c>
      <c r="W34" s="31">
        <f t="shared" si="9"/>
        <v>52132</v>
      </c>
      <c r="X34" s="32">
        <f t="shared" si="12"/>
        <v>0</v>
      </c>
      <c r="Y34" s="806"/>
      <c r="Z34" s="112">
        <v>80000</v>
      </c>
      <c r="AA34" s="113">
        <f>AD5-Z34</f>
        <v>0</v>
      </c>
      <c r="AB34" s="113">
        <f>Z34+AA34</f>
        <v>80000</v>
      </c>
      <c r="AC34" s="114">
        <f>+Z34</f>
        <v>80000</v>
      </c>
      <c r="AD34" s="114">
        <f>+AD32-AC34</f>
        <v>-80000</v>
      </c>
      <c r="AE34" s="114">
        <f>+AC34+AD34</f>
        <v>0</v>
      </c>
      <c r="AF34" s="115"/>
      <c r="AG34" s="111"/>
      <c r="AH34" s="511"/>
      <c r="AI34" s="509"/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8"/>
        <v>52132</v>
      </c>
      <c r="M35" s="29"/>
      <c r="N35" s="799"/>
      <c r="O35" s="30">
        <f t="shared" si="13"/>
        <v>0</v>
      </c>
      <c r="P35" s="802"/>
      <c r="Q35" s="31">
        <f t="shared" si="14"/>
        <v>0</v>
      </c>
      <c r="R35" s="31"/>
      <c r="S35" s="28">
        <f t="shared" si="3"/>
        <v>0</v>
      </c>
      <c r="T35" s="28">
        <f t="shared" si="4"/>
        <v>0</v>
      </c>
      <c r="U35" s="28">
        <f t="shared" si="5"/>
        <v>0</v>
      </c>
      <c r="V35" s="28">
        <f t="shared" si="6"/>
        <v>0</v>
      </c>
      <c r="W35" s="31">
        <f t="shared" si="9"/>
        <v>52132</v>
      </c>
      <c r="X35" s="32">
        <f t="shared" si="12"/>
        <v>0</v>
      </c>
      <c r="Y35" s="117" t="s">
        <v>56</v>
      </c>
      <c r="Z35" s="113">
        <f>Z34*43%</f>
        <v>34400</v>
      </c>
      <c r="AA35" s="113">
        <f>AD4-Z35</f>
        <v>0</v>
      </c>
      <c r="AB35" s="113">
        <f>Z35+AA35</f>
        <v>34400</v>
      </c>
      <c r="AC35" s="113">
        <f>AC34*32.0213%</f>
        <v>25617.039999999997</v>
      </c>
      <c r="AD35" s="113">
        <f>+AD34*43%</f>
        <v>-34400</v>
      </c>
      <c r="AE35" s="114">
        <f>+AC35+AD35</f>
        <v>-8782.9600000000028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8"/>
        <v>52132</v>
      </c>
      <c r="M36" s="29"/>
      <c r="N36" s="799"/>
      <c r="O36" s="30">
        <f t="shared" si="13"/>
        <v>0</v>
      </c>
      <c r="P36" s="802"/>
      <c r="Q36" s="31">
        <f t="shared" si="14"/>
        <v>0</v>
      </c>
      <c r="R36" s="31"/>
      <c r="S36" s="28">
        <f t="shared" si="3"/>
        <v>0</v>
      </c>
      <c r="T36" s="28">
        <f t="shared" si="4"/>
        <v>0</v>
      </c>
      <c r="U36" s="28">
        <f t="shared" si="5"/>
        <v>0</v>
      </c>
      <c r="V36" s="28">
        <f t="shared" si="6"/>
        <v>0</v>
      </c>
      <c r="W36" s="31">
        <f t="shared" si="9"/>
        <v>52132</v>
      </c>
      <c r="X36" s="32">
        <f t="shared" si="12"/>
        <v>0</v>
      </c>
      <c r="Y36" s="117" t="s">
        <v>60</v>
      </c>
      <c r="Z36" s="113">
        <f>Z34*57%</f>
        <v>45599.999999999993</v>
      </c>
      <c r="AA36" s="113">
        <f>AD3-Z36</f>
        <v>0</v>
      </c>
      <c r="AB36" s="113">
        <f>Z36+AA36</f>
        <v>45599.999999999993</v>
      </c>
      <c r="AC36" s="113">
        <f>AC34*67.9787%</f>
        <v>54382.96</v>
      </c>
      <c r="AD36" s="113">
        <f>+AD34*57%</f>
        <v>-45599.999999999993</v>
      </c>
      <c r="AE36" s="114">
        <f>+AC36+AD36</f>
        <v>8782.9600000000064</v>
      </c>
      <c r="AF36" s="118"/>
      <c r="AG36" s="120"/>
      <c r="AH36" s="121"/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8"/>
        <v>52132</v>
      </c>
      <c r="M37" s="29"/>
      <c r="N37" s="799"/>
      <c r="O37" s="30">
        <f t="shared" si="13"/>
        <v>0</v>
      </c>
      <c r="P37" s="802"/>
      <c r="Q37" s="31">
        <f t="shared" si="14"/>
        <v>0</v>
      </c>
      <c r="R37" s="31"/>
      <c r="S37" s="28">
        <f t="shared" si="3"/>
        <v>0</v>
      </c>
      <c r="T37" s="28">
        <f t="shared" si="4"/>
        <v>0</v>
      </c>
      <c r="U37" s="28">
        <f t="shared" si="5"/>
        <v>0</v>
      </c>
      <c r="V37" s="28">
        <f t="shared" si="6"/>
        <v>0</v>
      </c>
      <c r="W37" s="31">
        <f t="shared" si="9"/>
        <v>52132</v>
      </c>
      <c r="X37" s="32">
        <f t="shared" si="12"/>
        <v>0</v>
      </c>
      <c r="Y37" s="117" t="s">
        <v>94</v>
      </c>
      <c r="Z37" s="113">
        <f>+Z35+Z36</f>
        <v>80000</v>
      </c>
      <c r="AA37" s="113">
        <f>SUM(AA35:AA36)</f>
        <v>0</v>
      </c>
      <c r="AB37" s="113">
        <f>Z37+AA37</f>
        <v>80000</v>
      </c>
      <c r="AC37" s="42">
        <f>+AC35+AC36</f>
        <v>80000</v>
      </c>
      <c r="AD37" s="42">
        <f>+AD35+AD36</f>
        <v>-80000</v>
      </c>
      <c r="AE37" s="122">
        <f>+AE35+AE36</f>
        <v>0</v>
      </c>
      <c r="AF37" s="53"/>
      <c r="AG37" s="111"/>
      <c r="AH37" s="512"/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14200</v>
      </c>
      <c r="I38" s="518"/>
      <c r="J38" s="26"/>
      <c r="K38" s="27">
        <f t="shared" si="0"/>
        <v>14200</v>
      </c>
      <c r="L38" s="28">
        <f t="shared" si="8"/>
        <v>37932</v>
      </c>
      <c r="M38" s="29"/>
      <c r="N38" s="799"/>
      <c r="O38" s="30">
        <f t="shared" si="13"/>
        <v>0.31767337807606266</v>
      </c>
      <c r="P38" s="802"/>
      <c r="Q38" s="31">
        <f t="shared" si="14"/>
        <v>0</v>
      </c>
      <c r="R38" s="31"/>
      <c r="S38" s="28">
        <f t="shared" si="3"/>
        <v>14200</v>
      </c>
      <c r="T38" s="28">
        <f t="shared" si="4"/>
        <v>0</v>
      </c>
      <c r="U38" s="28">
        <f t="shared" si="5"/>
        <v>0</v>
      </c>
      <c r="V38" s="28">
        <f t="shared" si="6"/>
        <v>14200</v>
      </c>
      <c r="W38" s="31">
        <f t="shared" si="9"/>
        <v>37932</v>
      </c>
      <c r="X38" s="32">
        <f t="shared" si="12"/>
        <v>0</v>
      </c>
      <c r="Y38" s="35"/>
      <c r="Z38" s="34"/>
      <c r="AA38" s="57"/>
      <c r="AB38" s="35"/>
      <c r="AC38" s="123"/>
      <c r="AD38" s="35"/>
      <c r="AG38" s="111"/>
      <c r="AH38" s="510"/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 t="shared" si="8"/>
        <v>37932</v>
      </c>
      <c r="M39" s="29"/>
      <c r="N39" s="799"/>
      <c r="O39" s="30">
        <f t="shared" si="13"/>
        <v>0</v>
      </c>
      <c r="P39" s="802"/>
      <c r="Q39" s="31">
        <f t="shared" si="14"/>
        <v>0</v>
      </c>
      <c r="R39" s="31"/>
      <c r="S39" s="28">
        <f t="shared" si="3"/>
        <v>0</v>
      </c>
      <c r="T39" s="28">
        <f t="shared" si="4"/>
        <v>0</v>
      </c>
      <c r="U39" s="28">
        <f t="shared" si="5"/>
        <v>0</v>
      </c>
      <c r="V39" s="28">
        <f t="shared" si="6"/>
        <v>0</v>
      </c>
      <c r="W39" s="31">
        <f t="shared" si="9"/>
        <v>37932</v>
      </c>
      <c r="X39" s="32">
        <f t="shared" si="12"/>
        <v>0</v>
      </c>
      <c r="Y39" s="35"/>
      <c r="Z39" s="34"/>
      <c r="AA39" s="35"/>
      <c r="AB39" s="35"/>
      <c r="AC39" s="123"/>
      <c r="AD39" s="57"/>
      <c r="AG39" s="124"/>
      <c r="AH39" s="509"/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8"/>
        <v>37932</v>
      </c>
      <c r="M40" s="29"/>
      <c r="N40" s="799"/>
      <c r="O40" s="30"/>
      <c r="P40" s="802"/>
      <c r="Q40" s="31"/>
      <c r="R40" s="31"/>
      <c r="S40" s="28">
        <f t="shared" si="3"/>
        <v>0</v>
      </c>
      <c r="T40" s="28">
        <f t="shared" si="4"/>
        <v>0</v>
      </c>
      <c r="U40" s="28">
        <f t="shared" si="5"/>
        <v>0</v>
      </c>
      <c r="V40" s="28">
        <f t="shared" si="6"/>
        <v>0</v>
      </c>
      <c r="W40" s="31">
        <f t="shared" si="9"/>
        <v>37932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75</v>
      </c>
      <c r="G41" s="101" t="s">
        <v>76</v>
      </c>
      <c r="H41" s="518">
        <v>15000</v>
      </c>
      <c r="I41" s="26"/>
      <c r="J41" s="26"/>
      <c r="K41" s="27">
        <f t="shared" si="0"/>
        <v>15000</v>
      </c>
      <c r="L41" s="28">
        <f t="shared" si="8"/>
        <v>22932</v>
      </c>
      <c r="M41" s="29"/>
      <c r="N41" s="799"/>
      <c r="O41" s="30">
        <f t="shared" ref="O41:O47" si="15">+K41/$N$27</f>
        <v>0.33557046979865773</v>
      </c>
      <c r="P41" s="802"/>
      <c r="Q41" s="31">
        <f t="shared" ref="Q41:Q57" si="16">IF($P$30=0,0,(-($P$30*O41)+K41)-K41)</f>
        <v>0</v>
      </c>
      <c r="R41" s="31"/>
      <c r="S41" s="28">
        <f t="shared" si="3"/>
        <v>15000</v>
      </c>
      <c r="T41" s="28">
        <f t="shared" si="4"/>
        <v>0</v>
      </c>
      <c r="U41" s="28">
        <f t="shared" si="5"/>
        <v>0</v>
      </c>
      <c r="V41" s="28">
        <f t="shared" si="6"/>
        <v>15000</v>
      </c>
      <c r="W41" s="31">
        <f t="shared" si="9"/>
        <v>22932</v>
      </c>
      <c r="X41" s="32">
        <f t="shared" ref="X41:X47" si="17">W41-L41</f>
        <v>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/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52</v>
      </c>
      <c r="E42" s="100" t="s">
        <v>53</v>
      </c>
      <c r="F42" s="100" t="s">
        <v>75</v>
      </c>
      <c r="G42" s="101" t="s">
        <v>76</v>
      </c>
      <c r="H42" s="518">
        <v>5500</v>
      </c>
      <c r="I42" s="26"/>
      <c r="J42" s="26"/>
      <c r="K42" s="27">
        <f t="shared" si="0"/>
        <v>5500</v>
      </c>
      <c r="L42" s="28">
        <f t="shared" si="8"/>
        <v>17432</v>
      </c>
      <c r="M42" s="29"/>
      <c r="N42" s="799"/>
      <c r="O42" s="30">
        <f t="shared" si="15"/>
        <v>0.12304250559284116</v>
      </c>
      <c r="P42" s="802"/>
      <c r="Q42" s="31">
        <f t="shared" si="16"/>
        <v>0</v>
      </c>
      <c r="R42" s="31"/>
      <c r="S42" s="28">
        <f t="shared" si="3"/>
        <v>5500</v>
      </c>
      <c r="T42" s="28">
        <f t="shared" si="4"/>
        <v>0</v>
      </c>
      <c r="U42" s="28">
        <f t="shared" si="5"/>
        <v>0</v>
      </c>
      <c r="V42" s="28">
        <f t="shared" si="6"/>
        <v>5500</v>
      </c>
      <c r="W42" s="31">
        <f t="shared" si="9"/>
        <v>17432</v>
      </c>
      <c r="X42" s="32">
        <f t="shared" si="17"/>
        <v>0</v>
      </c>
      <c r="Y42" s="74" t="s">
        <v>96</v>
      </c>
      <c r="Z42" s="75">
        <v>35500</v>
      </c>
      <c r="AA42" s="129">
        <f>+H7+H8+H17+H18+H19+H22+H32+H33+H43+H44+H45+H53</f>
        <v>26674</v>
      </c>
      <c r="AB42" s="129">
        <f>+I7+I8+I17+I18+I19+I22+I32+I33+I43+I44+I45+I53</f>
        <v>7326</v>
      </c>
      <c r="AC42" s="130">
        <f>+AA42+AB42</f>
        <v>34000</v>
      </c>
      <c r="AD42" s="57"/>
      <c r="AE42" s="19"/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8"/>
        <v>17432</v>
      </c>
      <c r="M43" s="29"/>
      <c r="N43" s="799"/>
      <c r="O43" s="30">
        <f t="shared" si="15"/>
        <v>0</v>
      </c>
      <c r="P43" s="802"/>
      <c r="Q43" s="31">
        <f t="shared" si="16"/>
        <v>0</v>
      </c>
      <c r="R43" s="31"/>
      <c r="S43" s="28">
        <f t="shared" si="3"/>
        <v>0</v>
      </c>
      <c r="T43" s="28">
        <f t="shared" si="4"/>
        <v>0</v>
      </c>
      <c r="U43" s="28">
        <f t="shared" si="5"/>
        <v>0</v>
      </c>
      <c r="V43" s="28">
        <f t="shared" si="6"/>
        <v>0</v>
      </c>
      <c r="W43" s="31">
        <f t="shared" si="9"/>
        <v>17432</v>
      </c>
      <c r="X43" s="32">
        <f t="shared" si="17"/>
        <v>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/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8"/>
        <v>17432</v>
      </c>
      <c r="M44" s="29"/>
      <c r="N44" s="799"/>
      <c r="O44" s="30">
        <f t="shared" si="15"/>
        <v>0</v>
      </c>
      <c r="P44" s="802"/>
      <c r="Q44" s="31">
        <f t="shared" si="16"/>
        <v>0</v>
      </c>
      <c r="R44" s="31"/>
      <c r="S44" s="28">
        <f t="shared" si="3"/>
        <v>0</v>
      </c>
      <c r="T44" s="28">
        <f t="shared" si="4"/>
        <v>0</v>
      </c>
      <c r="U44" s="28">
        <f t="shared" si="5"/>
        <v>0</v>
      </c>
      <c r="V44" s="28">
        <f t="shared" si="6"/>
        <v>0</v>
      </c>
      <c r="W44" s="31">
        <f t="shared" si="9"/>
        <v>17432</v>
      </c>
      <c r="X44" s="32">
        <f t="shared" si="17"/>
        <v>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/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8"/>
        <v>17432</v>
      </c>
      <c r="M45" s="29"/>
      <c r="N45" s="799"/>
      <c r="O45" s="30">
        <f t="shared" si="15"/>
        <v>0</v>
      </c>
      <c r="P45" s="802"/>
      <c r="Q45" s="31">
        <f t="shared" si="16"/>
        <v>0</v>
      </c>
      <c r="R45" s="31"/>
      <c r="S45" s="28">
        <f t="shared" si="3"/>
        <v>0</v>
      </c>
      <c r="T45" s="28">
        <f t="shared" si="4"/>
        <v>0</v>
      </c>
      <c r="U45" s="28">
        <f t="shared" si="5"/>
        <v>0</v>
      </c>
      <c r="V45" s="28">
        <f t="shared" si="6"/>
        <v>0</v>
      </c>
      <c r="W45" s="31">
        <f t="shared" si="9"/>
        <v>17432</v>
      </c>
      <c r="X45" s="32">
        <f t="shared" si="17"/>
        <v>0</v>
      </c>
      <c r="Y45" s="131" t="s">
        <v>98</v>
      </c>
      <c r="Z45" s="132">
        <v>9600</v>
      </c>
      <c r="AA45" s="133">
        <f>+H12+H13+H37+H38</f>
        <v>23800</v>
      </c>
      <c r="AB45" s="133">
        <f>+I12+I13+I37+I38</f>
        <v>0</v>
      </c>
      <c r="AC45" s="133">
        <f>+AA45+AB45</f>
        <v>23800</v>
      </c>
      <c r="AD45" s="57"/>
      <c r="AE45" s="19"/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 t="shared" si="8"/>
        <v>7432</v>
      </c>
      <c r="M46" s="29"/>
      <c r="N46" s="799"/>
      <c r="O46" s="30">
        <f t="shared" si="15"/>
        <v>0.22371364653243847</v>
      </c>
      <c r="P46" s="802"/>
      <c r="Q46" s="31">
        <f t="shared" si="16"/>
        <v>0</v>
      </c>
      <c r="R46" s="31">
        <v>0</v>
      </c>
      <c r="S46" s="28">
        <f t="shared" si="3"/>
        <v>10000</v>
      </c>
      <c r="T46" s="28">
        <f t="shared" si="4"/>
        <v>0</v>
      </c>
      <c r="U46" s="28">
        <f t="shared" si="5"/>
        <v>0</v>
      </c>
      <c r="V46" s="28">
        <f t="shared" si="6"/>
        <v>10000</v>
      </c>
      <c r="W46" s="31">
        <f t="shared" si="9"/>
        <v>7432</v>
      </c>
      <c r="X46" s="32">
        <f t="shared" si="17"/>
        <v>0</v>
      </c>
      <c r="Y46" s="35"/>
      <c r="Z46" s="34"/>
      <c r="AA46" s="35"/>
      <c r="AB46" s="35"/>
      <c r="AC46" s="35"/>
      <c r="AD46" s="57"/>
      <c r="AE46" s="19"/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8"/>
        <v>7432</v>
      </c>
      <c r="M47" s="29"/>
      <c r="N47" s="799"/>
      <c r="O47" s="30">
        <f t="shared" si="15"/>
        <v>0</v>
      </c>
      <c r="P47" s="802"/>
      <c r="Q47" s="31">
        <f t="shared" si="16"/>
        <v>0</v>
      </c>
      <c r="R47" s="31"/>
      <c r="S47" s="28">
        <f t="shared" si="3"/>
        <v>0</v>
      </c>
      <c r="T47" s="28">
        <f t="shared" si="4"/>
        <v>0</v>
      </c>
      <c r="U47" s="28">
        <f t="shared" si="5"/>
        <v>0</v>
      </c>
      <c r="V47" s="28">
        <f t="shared" si="6"/>
        <v>0</v>
      </c>
      <c r="W47" s="31">
        <f t="shared" si="9"/>
        <v>7432</v>
      </c>
      <c r="X47" s="32">
        <f t="shared" si="17"/>
        <v>0</v>
      </c>
      <c r="Y47" s="57">
        <v>20000</v>
      </c>
      <c r="Z47" s="89">
        <v>4586</v>
      </c>
      <c r="AA47" s="35"/>
      <c r="AB47" s="57">
        <f>57000-AA60</f>
        <v>11400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8"/>
        <v>7432</v>
      </c>
      <c r="M48" s="136"/>
      <c r="N48" s="799"/>
      <c r="O48" s="137"/>
      <c r="P48" s="802"/>
      <c r="Q48" s="31">
        <f t="shared" si="16"/>
        <v>0</v>
      </c>
      <c r="R48" s="138"/>
      <c r="S48" s="28">
        <f t="shared" si="3"/>
        <v>0</v>
      </c>
      <c r="T48" s="28">
        <f t="shared" si="4"/>
        <v>0</v>
      </c>
      <c r="U48" s="28">
        <f t="shared" si="5"/>
        <v>0</v>
      </c>
      <c r="V48" s="28">
        <f t="shared" si="6"/>
        <v>0</v>
      </c>
      <c r="W48" s="31">
        <f t="shared" si="9"/>
        <v>7432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4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423">
        <f t="shared" si="8"/>
        <v>7432</v>
      </c>
      <c r="M49" s="86"/>
      <c r="N49" s="800"/>
      <c r="O49" s="87">
        <f>+K49/$N$27</f>
        <v>0</v>
      </c>
      <c r="P49" s="803"/>
      <c r="Q49" s="144">
        <f t="shared" si="16"/>
        <v>0</v>
      </c>
      <c r="R49" s="144"/>
      <c r="S49" s="423">
        <f t="shared" si="3"/>
        <v>0</v>
      </c>
      <c r="T49" s="423">
        <f t="shared" si="4"/>
        <v>0</v>
      </c>
      <c r="U49" s="423">
        <f t="shared" si="5"/>
        <v>0</v>
      </c>
      <c r="V49" s="423">
        <f t="shared" si="6"/>
        <v>0</v>
      </c>
      <c r="W49" s="144">
        <f t="shared" si="9"/>
        <v>7432</v>
      </c>
      <c r="X49" s="32">
        <f>W49-L49</f>
        <v>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4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422">
        <f t="shared" si="8"/>
        <v>7432</v>
      </c>
      <c r="M50" s="95"/>
      <c r="N50" s="804">
        <f>SUM(K50:K55)</f>
        <v>0</v>
      </c>
      <c r="O50" s="96">
        <f>+K50/$N$27</f>
        <v>0</v>
      </c>
      <c r="P50" s="805"/>
      <c r="Q50" s="138">
        <f t="shared" si="16"/>
        <v>0</v>
      </c>
      <c r="R50" s="157" t="e">
        <f>K50*$P$50/SUM($K$50:$K$55)-K50</f>
        <v>#DIV/0!</v>
      </c>
      <c r="S50" s="422">
        <f t="shared" si="3"/>
        <v>0</v>
      </c>
      <c r="T50" s="422">
        <f t="shared" si="4"/>
        <v>0</v>
      </c>
      <c r="U50" s="422">
        <f t="shared" si="5"/>
        <v>0</v>
      </c>
      <c r="V50" s="422">
        <f t="shared" si="6"/>
        <v>0</v>
      </c>
      <c r="W50" s="97">
        <f t="shared" si="9"/>
        <v>7432</v>
      </c>
      <c r="X50" s="32">
        <f>W50-L50</f>
        <v>0</v>
      </c>
      <c r="Y50" s="149" t="s">
        <v>107</v>
      </c>
      <c r="Z50" s="150">
        <v>370000</v>
      </c>
      <c r="AA50" s="145"/>
      <c r="AB50" s="151" t="e">
        <f>+#REF!-Z50</f>
        <v>#REF!</v>
      </c>
      <c r="AC50" s="152"/>
      <c r="AD50" s="152"/>
      <c r="AE50" s="153"/>
      <c r="AK50" s="51">
        <v>32700</v>
      </c>
    </row>
    <row r="51" spans="1:44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/>
      <c r="I51" s="26"/>
      <c r="J51" s="611"/>
      <c r="K51" s="27">
        <f t="shared" si="0"/>
        <v>0</v>
      </c>
      <c r="L51" s="28">
        <f t="shared" si="8"/>
        <v>7432</v>
      </c>
      <c r="M51" s="234"/>
      <c r="N51" s="799"/>
      <c r="O51" s="184"/>
      <c r="P51" s="802"/>
      <c r="Q51" s="138">
        <f t="shared" si="16"/>
        <v>0</v>
      </c>
      <c r="R51" s="31"/>
      <c r="S51" s="422">
        <f t="shared" si="3"/>
        <v>0</v>
      </c>
      <c r="T51" s="28">
        <f t="shared" si="4"/>
        <v>0</v>
      </c>
      <c r="U51" s="28">
        <f t="shared" si="5"/>
        <v>0</v>
      </c>
      <c r="V51" s="28">
        <f t="shared" si="6"/>
        <v>0</v>
      </c>
      <c r="W51" s="31">
        <f t="shared" si="9"/>
        <v>7432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  <c r="AJ51" s="20">
        <f>AL51*(24-10)/24</f>
        <v>47362</v>
      </c>
      <c r="AK51" s="50">
        <f>AC58-AK50</f>
        <v>47362</v>
      </c>
      <c r="AL51" s="50">
        <f>AK51/(24-10)*24</f>
        <v>81192</v>
      </c>
    </row>
    <row r="52" spans="1:44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8"/>
        <v>7432</v>
      </c>
      <c r="M52" s="234"/>
      <c r="N52" s="799"/>
      <c r="O52" s="184"/>
      <c r="P52" s="802"/>
      <c r="Q52" s="31">
        <f t="shared" si="16"/>
        <v>0</v>
      </c>
      <c r="R52" s="97" t="e">
        <f>K52*$P$50/SUM($K$50:$K$55)-K52</f>
        <v>#DIV/0!</v>
      </c>
      <c r="S52" s="28">
        <f t="shared" si="3"/>
        <v>0</v>
      </c>
      <c r="T52" s="28">
        <f t="shared" si="4"/>
        <v>0</v>
      </c>
      <c r="U52" s="28">
        <f t="shared" si="5"/>
        <v>0</v>
      </c>
      <c r="V52" s="28">
        <f t="shared" si="6"/>
        <v>0</v>
      </c>
      <c r="W52" s="31">
        <f t="shared" si="9"/>
        <v>7432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</row>
    <row r="53" spans="1:44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/>
      <c r="I53" s="518"/>
      <c r="J53" s="26"/>
      <c r="K53" s="27">
        <f t="shared" si="0"/>
        <v>0</v>
      </c>
      <c r="L53" s="28">
        <f t="shared" si="8"/>
        <v>7432</v>
      </c>
      <c r="M53" s="29"/>
      <c r="N53" s="799"/>
      <c r="O53" s="30">
        <f>+K53/$N$27</f>
        <v>0</v>
      </c>
      <c r="P53" s="802"/>
      <c r="Q53" s="97">
        <f t="shared" si="16"/>
        <v>0</v>
      </c>
      <c r="R53" s="31"/>
      <c r="S53" s="28">
        <f t="shared" si="3"/>
        <v>0</v>
      </c>
      <c r="T53" s="28">
        <f t="shared" si="4"/>
        <v>0</v>
      </c>
      <c r="U53" s="28">
        <f t="shared" si="5"/>
        <v>0</v>
      </c>
      <c r="V53" s="28">
        <f t="shared" si="6"/>
        <v>0</v>
      </c>
      <c r="W53" s="31">
        <f t="shared" si="9"/>
        <v>7432</v>
      </c>
      <c r="X53" s="32">
        <f>W53-L53</f>
        <v>0</v>
      </c>
      <c r="Y53" s="80">
        <f>+Y52-15000</f>
        <v>-2513.5</v>
      </c>
      <c r="Z53" s="49">
        <f>+Z60-43000</f>
        <v>-8600</v>
      </c>
      <c r="AD53" s="322"/>
      <c r="AE53" s="153"/>
      <c r="AH53" s="18"/>
      <c r="AK53" s="20">
        <f>297521/24*10</f>
        <v>123967.08333333334</v>
      </c>
      <c r="AL53" s="53">
        <f>AC58</f>
        <v>80062</v>
      </c>
    </row>
    <row r="54" spans="1:44" ht="18.75" customHeight="1" x14ac:dyDescent="0.25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8"/>
        <v>7432</v>
      </c>
      <c r="M54" s="29"/>
      <c r="N54" s="799"/>
      <c r="O54" s="30">
        <f>+K54/$N$27</f>
        <v>0</v>
      </c>
      <c r="P54" s="802"/>
      <c r="Q54" s="97">
        <f t="shared" si="16"/>
        <v>0</v>
      </c>
      <c r="R54" s="31" t="e">
        <f>K54*$P$50/SUM($K$50:$K$55)-K54</f>
        <v>#DIV/0!</v>
      </c>
      <c r="S54" s="28">
        <f t="shared" si="3"/>
        <v>0</v>
      </c>
      <c r="T54" s="28">
        <f t="shared" si="4"/>
        <v>0</v>
      </c>
      <c r="U54" s="28">
        <f t="shared" si="5"/>
        <v>0</v>
      </c>
      <c r="V54" s="28">
        <f t="shared" si="6"/>
        <v>0</v>
      </c>
      <c r="W54" s="31">
        <f t="shared" si="9"/>
        <v>7432</v>
      </c>
      <c r="X54" s="32">
        <f>W54-L54</f>
        <v>0</v>
      </c>
      <c r="Y54" s="196"/>
      <c r="Z54" s="902"/>
      <c r="AA54" s="556"/>
      <c r="AB54" s="196"/>
      <c r="AC54" s="556"/>
      <c r="AD54" s="322"/>
      <c r="AE54" s="153"/>
      <c r="AH54" s="18"/>
      <c r="AK54" s="20">
        <f>(AC59+AI59)/24*(24-10)</f>
        <v>196399.24305555556</v>
      </c>
      <c r="AL54" s="53">
        <f>AC59+AI59</f>
        <v>336684.41666666669</v>
      </c>
    </row>
    <row r="55" spans="1:44" ht="18.75" customHeight="1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/>
      <c r="J55" s="143"/>
      <c r="K55" s="27">
        <f t="shared" si="0"/>
        <v>0</v>
      </c>
      <c r="L55" s="423">
        <f t="shared" si="8"/>
        <v>7432</v>
      </c>
      <c r="M55" s="86"/>
      <c r="N55" s="800"/>
      <c r="O55" s="87">
        <f>+K55/$N$27</f>
        <v>0</v>
      </c>
      <c r="P55" s="803"/>
      <c r="Q55" s="97">
        <f t="shared" si="16"/>
        <v>0</v>
      </c>
      <c r="R55" s="31"/>
      <c r="S55" s="423">
        <f t="shared" si="3"/>
        <v>0</v>
      </c>
      <c r="T55" s="28">
        <f t="shared" si="4"/>
        <v>0</v>
      </c>
      <c r="U55" s="423">
        <f t="shared" si="5"/>
        <v>0</v>
      </c>
      <c r="V55" s="423">
        <f t="shared" si="6"/>
        <v>0</v>
      </c>
      <c r="W55" s="144">
        <f t="shared" si="9"/>
        <v>7432</v>
      </c>
      <c r="X55" s="119">
        <f>W55-L55</f>
        <v>0</v>
      </c>
      <c r="Y55" s="903">
        <f ca="1">Z8</f>
        <v>41938</v>
      </c>
      <c r="Z55" s="903"/>
      <c r="AA55" s="903"/>
      <c r="AB55" s="903"/>
      <c r="AC55" s="903"/>
      <c r="AD55" s="322"/>
      <c r="AE55" s="20" t="s">
        <v>319</v>
      </c>
      <c r="AK55" s="20">
        <f>SUM(AK53:AK54)</f>
        <v>320366.32638888888</v>
      </c>
      <c r="AL55" s="53">
        <f>AC60</f>
        <v>80000</v>
      </c>
      <c r="AM55" s="507"/>
    </row>
    <row r="56" spans="1:44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422">
        <f t="shared" si="8"/>
        <v>7432</v>
      </c>
      <c r="M56" s="804"/>
      <c r="N56" s="804">
        <f>SUM(K56:K80)</f>
        <v>0</v>
      </c>
      <c r="O56" s="96">
        <f>+K56/$N$27</f>
        <v>0</v>
      </c>
      <c r="P56" s="172"/>
      <c r="Q56" s="157">
        <f t="shared" si="16"/>
        <v>0</v>
      </c>
      <c r="R56" s="157">
        <v>0</v>
      </c>
      <c r="S56" s="422">
        <f t="shared" si="3"/>
        <v>0</v>
      </c>
      <c r="T56" s="157">
        <f t="shared" si="4"/>
        <v>0</v>
      </c>
      <c r="U56" s="422">
        <f t="shared" si="5"/>
        <v>0</v>
      </c>
      <c r="V56" s="422">
        <f t="shared" si="6"/>
        <v>0</v>
      </c>
      <c r="W56" s="97">
        <f t="shared" si="9"/>
        <v>7432</v>
      </c>
      <c r="X56" s="119">
        <f>W56-L56</f>
        <v>0</v>
      </c>
      <c r="Y56" s="812" t="s">
        <v>186</v>
      </c>
      <c r="Z56" s="812"/>
      <c r="AA56" s="812"/>
      <c r="AB56" s="812"/>
      <c r="AC56" s="812"/>
      <c r="AD56" s="322"/>
      <c r="AE56" s="13">
        <v>18700</v>
      </c>
      <c r="AF56" s="17">
        <f>AG3</f>
        <v>4581</v>
      </c>
      <c r="AG56" s="20">
        <f>AF56/24*(24-9)</f>
        <v>2863.125</v>
      </c>
      <c r="AH56" s="53">
        <f>AG56+AC3</f>
        <v>169708.125</v>
      </c>
      <c r="AK56" s="53">
        <f>AC59-AK55</f>
        <v>4376.673611111124</v>
      </c>
      <c r="AL56" s="53">
        <f>SUM(AL53:AL55)</f>
        <v>496746.41666666669</v>
      </c>
      <c r="AM56" s="50">
        <f>AL55+AL54+AL51</f>
        <v>497876.41666666669</v>
      </c>
    </row>
    <row r="57" spans="1:44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423">
        <f t="shared" si="8"/>
        <v>7432</v>
      </c>
      <c r="M57" s="800"/>
      <c r="N57" s="800"/>
      <c r="O57" s="87" t="e">
        <f t="shared" ref="O57:O80" si="18">+K57/$N$56</f>
        <v>#DIV/0!</v>
      </c>
      <c r="P57" s="328"/>
      <c r="Q57" s="448">
        <f t="shared" si="16"/>
        <v>0</v>
      </c>
      <c r="R57" s="144">
        <v>0</v>
      </c>
      <c r="S57" s="423">
        <f t="shared" si="3"/>
        <v>0</v>
      </c>
      <c r="T57" s="423">
        <f t="shared" si="4"/>
        <v>0</v>
      </c>
      <c r="U57" s="423">
        <f t="shared" si="5"/>
        <v>0</v>
      </c>
      <c r="V57" s="423">
        <f t="shared" si="6"/>
        <v>0</v>
      </c>
      <c r="W57" s="144">
        <f t="shared" si="9"/>
        <v>7432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8" t="s">
        <v>9</v>
      </c>
      <c r="AD57" s="322"/>
      <c r="AE57" s="513"/>
      <c r="AF57" s="747"/>
      <c r="AG57" s="514"/>
      <c r="AH57" s="514"/>
      <c r="AI57" s="53"/>
    </row>
    <row r="58" spans="1:44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422">
        <f t="shared" si="8"/>
        <v>7432</v>
      </c>
      <c r="M58" s="148"/>
      <c r="N58" s="148"/>
      <c r="O58" s="184" t="e">
        <f t="shared" si="18"/>
        <v>#DIV/0!</v>
      </c>
      <c r="P58" s="171"/>
      <c r="Q58" s="97">
        <f t="shared" ref="Q58:Q81" si="19">IF($P$57=0,0,(-($P$57*O58)+K58)-K58)</f>
        <v>0</v>
      </c>
      <c r="R58" s="97"/>
      <c r="S58" s="422">
        <f t="shared" si="3"/>
        <v>0</v>
      </c>
      <c r="T58" s="422">
        <f t="shared" si="4"/>
        <v>0</v>
      </c>
      <c r="U58" s="422">
        <f t="shared" si="5"/>
        <v>0</v>
      </c>
      <c r="V58" s="422">
        <f t="shared" si="6"/>
        <v>0</v>
      </c>
      <c r="W58" s="97">
        <f t="shared" si="9"/>
        <v>7432</v>
      </c>
      <c r="X58" s="408"/>
      <c r="Y58" s="180" t="s">
        <v>7</v>
      </c>
      <c r="Z58" s="181">
        <f>+AB4</f>
        <v>19602</v>
      </c>
      <c r="AA58" s="182">
        <f>+AB3</f>
        <v>60460</v>
      </c>
      <c r="AB58" s="182">
        <f>Z12</f>
        <v>0</v>
      </c>
      <c r="AC58" s="661">
        <f>SUM(Z58:AB58)</f>
        <v>80062</v>
      </c>
      <c r="AD58" s="322"/>
      <c r="AE58" s="17">
        <f>AD58-AC58</f>
        <v>-80062</v>
      </c>
      <c r="AF58" s="17">
        <f>AA58-'Octubre 24'!AA58</f>
        <v>-19081</v>
      </c>
      <c r="AG58" s="53">
        <f>AC58-'Octubre 24'!AD58</f>
        <v>-27194</v>
      </c>
      <c r="AH58" s="50"/>
      <c r="AI58" s="50"/>
      <c r="AL58" s="50">
        <f>+AK58-AJ58</f>
        <v>0</v>
      </c>
    </row>
    <row r="59" spans="1:44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8"/>
        <v>7432</v>
      </c>
      <c r="M59" s="148"/>
      <c r="N59" s="148"/>
      <c r="O59" s="30" t="e">
        <f t="shared" si="18"/>
        <v>#DIV/0!</v>
      </c>
      <c r="P59" s="171"/>
      <c r="Q59" s="31">
        <f t="shared" si="19"/>
        <v>0</v>
      </c>
      <c r="R59" s="31"/>
      <c r="S59" s="28">
        <f t="shared" si="3"/>
        <v>0</v>
      </c>
      <c r="T59" s="28">
        <f t="shared" si="4"/>
        <v>0</v>
      </c>
      <c r="U59" s="28">
        <f t="shared" si="5"/>
        <v>0</v>
      </c>
      <c r="V59" s="28">
        <f t="shared" si="6"/>
        <v>0</v>
      </c>
      <c r="W59" s="31">
        <f t="shared" si="9"/>
        <v>7432</v>
      </c>
      <c r="X59" s="408"/>
      <c r="Y59" s="180" t="s">
        <v>17</v>
      </c>
      <c r="Z59" s="182">
        <f>+AC4</f>
        <v>147898</v>
      </c>
      <c r="AA59" s="182">
        <f>AC3</f>
        <v>166845</v>
      </c>
      <c r="AB59" s="182">
        <f>Z11</f>
        <v>10000</v>
      </c>
      <c r="AC59" s="661">
        <f>SUM(Z59:AB59)</f>
        <v>324743</v>
      </c>
      <c r="AD59" s="322"/>
      <c r="AE59" s="17">
        <f>AD59-AC59</f>
        <v>-324743</v>
      </c>
      <c r="AF59" s="51"/>
      <c r="AG59" s="19"/>
      <c r="AH59" s="758">
        <f>AA59-'Octubre 24 (2)'!AA59</f>
        <v>20471</v>
      </c>
      <c r="AI59" s="50">
        <f>AH59/24*(24-10)</f>
        <v>11941.416666666668</v>
      </c>
    </row>
    <row r="60" spans="1:44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8"/>
        <v>7432</v>
      </c>
      <c r="M60" s="148"/>
      <c r="N60" s="148"/>
      <c r="O60" s="30" t="e">
        <f t="shared" si="18"/>
        <v>#DIV/0!</v>
      </c>
      <c r="P60" s="171"/>
      <c r="Q60" s="31">
        <f t="shared" si="19"/>
        <v>0</v>
      </c>
      <c r="R60" s="31"/>
      <c r="S60" s="28">
        <f t="shared" si="3"/>
        <v>0</v>
      </c>
      <c r="T60" s="28">
        <f t="shared" si="4"/>
        <v>0</v>
      </c>
      <c r="U60" s="28">
        <f t="shared" si="5"/>
        <v>0</v>
      </c>
      <c r="V60" s="28">
        <f t="shared" si="6"/>
        <v>0</v>
      </c>
      <c r="W60" s="31">
        <f t="shared" si="9"/>
        <v>7432</v>
      </c>
      <c r="X60" s="408"/>
      <c r="Y60" s="180" t="s">
        <v>112</v>
      </c>
      <c r="Z60" s="181">
        <f>+AD4+AH11</f>
        <v>34400</v>
      </c>
      <c r="AA60" s="182">
        <f>+AD3+AH10</f>
        <v>45600</v>
      </c>
      <c r="AB60" s="191">
        <v>0</v>
      </c>
      <c r="AC60" s="662">
        <f>SUM(Z60:AB60)</f>
        <v>80000</v>
      </c>
      <c r="AD60" s="322"/>
      <c r="AE60" s="17">
        <f>AD60-AC60</f>
        <v>-80000</v>
      </c>
      <c r="AF60" s="20"/>
      <c r="AG60" s="53"/>
      <c r="AH60" s="20"/>
      <c r="AI60" s="20"/>
      <c r="AJ60" s="20"/>
      <c r="AK60" s="509"/>
      <c r="AL60" s="20"/>
      <c r="AM60" s="20"/>
      <c r="AN60" s="20"/>
      <c r="AO60" s="20"/>
      <c r="AP60" s="20"/>
      <c r="AQ60" s="20"/>
      <c r="AR60" s="20"/>
    </row>
    <row r="61" spans="1:44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8"/>
        <v>7432</v>
      </c>
      <c r="M61" s="148"/>
      <c r="N61" s="148"/>
      <c r="O61" s="30" t="e">
        <f t="shared" si="18"/>
        <v>#DIV/0!</v>
      </c>
      <c r="P61" s="171"/>
      <c r="Q61" s="31">
        <f t="shared" si="19"/>
        <v>0</v>
      </c>
      <c r="R61" s="31"/>
      <c r="S61" s="28">
        <f t="shared" si="3"/>
        <v>0</v>
      </c>
      <c r="T61" s="28">
        <f t="shared" si="4"/>
        <v>0</v>
      </c>
      <c r="U61" s="28">
        <f t="shared" si="5"/>
        <v>0</v>
      </c>
      <c r="V61" s="28">
        <f t="shared" si="6"/>
        <v>0</v>
      </c>
      <c r="W61" s="31">
        <f t="shared" si="9"/>
        <v>7432</v>
      </c>
      <c r="X61" s="408"/>
      <c r="Y61" s="193" t="s">
        <v>113</v>
      </c>
      <c r="Z61" s="194">
        <f>SUM(Z58:Z60)</f>
        <v>201900</v>
      </c>
      <c r="AA61" s="194">
        <f>SUM(AA58:AA60)</f>
        <v>272905</v>
      </c>
      <c r="AB61" s="194">
        <f>SUM(AB58:AB60)</f>
        <v>10000</v>
      </c>
      <c r="AC61" s="195">
        <f>SUM(AC58:AC60)</f>
        <v>484805</v>
      </c>
      <c r="AD61" s="322"/>
      <c r="AE61" s="17">
        <f>SUM(AE58:AE60)</f>
        <v>-484805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</row>
    <row r="62" spans="1:44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8"/>
        <v>7432</v>
      </c>
      <c r="M62" s="148"/>
      <c r="N62" s="148"/>
      <c r="O62" s="30" t="e">
        <f t="shared" si="18"/>
        <v>#DIV/0!</v>
      </c>
      <c r="P62" s="171"/>
      <c r="Q62" s="31">
        <f t="shared" si="19"/>
        <v>0</v>
      </c>
      <c r="R62" s="31"/>
      <c r="S62" s="28">
        <f t="shared" si="3"/>
        <v>0</v>
      </c>
      <c r="T62" s="28">
        <f t="shared" si="4"/>
        <v>0</v>
      </c>
      <c r="U62" s="28">
        <f t="shared" si="5"/>
        <v>0</v>
      </c>
      <c r="V62" s="28">
        <f t="shared" si="6"/>
        <v>0</v>
      </c>
      <c r="W62" s="31">
        <f t="shared" si="9"/>
        <v>7432</v>
      </c>
      <c r="X62" s="408"/>
      <c r="Y62" s="199" t="s">
        <v>114</v>
      </c>
      <c r="Z62" s="200">
        <f>(Z58/$Z$28+(Z59/$Z$27)+(Z60/$Z$29))</f>
        <v>202466.62290885893</v>
      </c>
      <c r="AA62" s="200">
        <f>(AA58/$Z$28+(AA59/$Z$27)+(AA60/$Z$29))</f>
        <v>273663.46611411299</v>
      </c>
      <c r="AB62" s="200">
        <f>(AB58/$Z$28)+(AB59/$Z$27)</f>
        <v>10028.002193324641</v>
      </c>
      <c r="AC62" s="201">
        <f>(AC58/$Z$28+(AC59/$Z$27)+(AC60/$Z$29))</f>
        <v>486158.09121629654</v>
      </c>
      <c r="AD62" s="322"/>
    </row>
    <row r="63" spans="1:44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8"/>
        <v>7432</v>
      </c>
      <c r="M63" s="148"/>
      <c r="N63" s="148"/>
      <c r="O63" s="30" t="e">
        <f t="shared" si="18"/>
        <v>#DIV/0!</v>
      </c>
      <c r="P63" s="171"/>
      <c r="Q63" s="31">
        <f t="shared" si="19"/>
        <v>0</v>
      </c>
      <c r="R63" s="31"/>
      <c r="S63" s="28">
        <f t="shared" si="3"/>
        <v>0</v>
      </c>
      <c r="T63" s="28">
        <f t="shared" si="4"/>
        <v>0</v>
      </c>
      <c r="U63" s="28">
        <f t="shared" si="5"/>
        <v>0</v>
      </c>
      <c r="V63" s="28">
        <f t="shared" si="6"/>
        <v>0</v>
      </c>
      <c r="W63" s="31">
        <f t="shared" si="9"/>
        <v>7432</v>
      </c>
      <c r="X63" s="408"/>
      <c r="Y63" s="368" t="s">
        <v>318</v>
      </c>
      <c r="Z63" s="369"/>
      <c r="AA63" s="369"/>
      <c r="AB63" s="369"/>
      <c r="AC63" s="904"/>
      <c r="AD63" s="322"/>
      <c r="AE63" s="185"/>
      <c r="AI63" s="192"/>
      <c r="AJ63" s="192"/>
      <c r="AK63" s="32"/>
      <c r="AL63" s="17"/>
      <c r="AM63" s="17"/>
    </row>
    <row r="64" spans="1:44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8"/>
        <v>7432</v>
      </c>
      <c r="M64" s="148"/>
      <c r="N64" s="148"/>
      <c r="O64" s="30" t="e">
        <f t="shared" si="18"/>
        <v>#DIV/0!</v>
      </c>
      <c r="P64" s="171"/>
      <c r="Q64" s="31">
        <f t="shared" si="19"/>
        <v>0</v>
      </c>
      <c r="R64" s="31"/>
      <c r="S64" s="28">
        <f t="shared" si="3"/>
        <v>0</v>
      </c>
      <c r="T64" s="28">
        <f t="shared" si="4"/>
        <v>0</v>
      </c>
      <c r="U64" s="28">
        <f t="shared" si="5"/>
        <v>0</v>
      </c>
      <c r="V64" s="28">
        <f t="shared" si="6"/>
        <v>0</v>
      </c>
      <c r="W64" s="31">
        <f t="shared" si="9"/>
        <v>7432</v>
      </c>
      <c r="X64" s="408"/>
      <c r="Y64" s="368" t="s">
        <v>317</v>
      </c>
      <c r="Z64" s="369"/>
      <c r="AA64" s="369"/>
      <c r="AB64" s="369"/>
      <c r="AC64" s="904"/>
      <c r="AD64" s="322"/>
      <c r="AE64" s="185"/>
      <c r="AI64" s="206"/>
      <c r="AJ64" s="206"/>
      <c r="AK64" s="185"/>
      <c r="AL64" s="373"/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8"/>
        <v>7432</v>
      </c>
      <c r="M65" s="148"/>
      <c r="N65" s="148"/>
      <c r="O65" s="30" t="e">
        <f t="shared" si="18"/>
        <v>#DIV/0!</v>
      </c>
      <c r="P65" s="171"/>
      <c r="Q65" s="31">
        <f t="shared" si="19"/>
        <v>0</v>
      </c>
      <c r="R65" s="31"/>
      <c r="S65" s="28">
        <f t="shared" si="3"/>
        <v>0</v>
      </c>
      <c r="T65" s="28">
        <f t="shared" si="4"/>
        <v>0</v>
      </c>
      <c r="U65" s="28">
        <f t="shared" si="5"/>
        <v>0</v>
      </c>
      <c r="V65" s="28">
        <f t="shared" si="6"/>
        <v>0</v>
      </c>
      <c r="W65" s="31">
        <f t="shared" si="9"/>
        <v>7432</v>
      </c>
      <c r="X65" s="408"/>
      <c r="Y65" s="371" t="s">
        <v>115</v>
      </c>
      <c r="Z65" s="484"/>
      <c r="AA65" s="203">
        <v>128215.72560000001</v>
      </c>
      <c r="AB65" s="204"/>
      <c r="AC65" s="905"/>
      <c r="AD65" s="322"/>
      <c r="AE65" s="32"/>
      <c r="AF65" s="149"/>
      <c r="AG65" s="149"/>
      <c r="AH65" s="149"/>
      <c r="AI65" s="149"/>
      <c r="AJ65" s="149"/>
      <c r="AK65" s="149"/>
      <c r="AL65" s="149"/>
      <c r="AM65" s="149"/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ref="K66:K103" si="20">SUM(H66:J66)</f>
        <v>0</v>
      </c>
      <c r="L66" s="28">
        <f t="shared" si="8"/>
        <v>7432</v>
      </c>
      <c r="M66" s="148"/>
      <c r="N66" s="148"/>
      <c r="O66" s="30" t="e">
        <f t="shared" si="18"/>
        <v>#DIV/0!</v>
      </c>
      <c r="P66" s="171"/>
      <c r="Q66" s="31">
        <f t="shared" si="19"/>
        <v>0</v>
      </c>
      <c r="R66" s="31"/>
      <c r="S66" s="28">
        <f t="shared" ref="S66:S103" si="21">IF(H66&lt;&gt;0,+H66+Q66+R66,0)</f>
        <v>0</v>
      </c>
      <c r="T66" s="28">
        <f t="shared" ref="T66:T103" si="22">IF(I66&lt;&gt;0,+I66+Q66+R66,0)</f>
        <v>0</v>
      </c>
      <c r="U66" s="28">
        <f t="shared" ref="U66:U103" si="23">IF(J66&lt;&gt;0,+J66+Q66+R66,0)</f>
        <v>0</v>
      </c>
      <c r="V66" s="28">
        <f t="shared" ref="V66:V103" si="24">+S66+T66+U66</f>
        <v>0</v>
      </c>
      <c r="W66" s="31">
        <f t="shared" si="9"/>
        <v>7432</v>
      </c>
      <c r="X66" s="408"/>
      <c r="Y66" s="814" t="s">
        <v>116</v>
      </c>
      <c r="Z66" s="815"/>
      <c r="AA66" s="203">
        <v>49956.255360000003</v>
      </c>
      <c r="AB66" s="208"/>
      <c r="AC66" s="906"/>
      <c r="AD66" s="322"/>
      <c r="AE66" s="13"/>
      <c r="AF66" s="149"/>
      <c r="AG66" s="149"/>
      <c r="AH66" s="149"/>
      <c r="AI66" s="149"/>
      <c r="AJ66" s="149"/>
      <c r="AK66" s="149"/>
      <c r="AL66" s="149"/>
      <c r="AM66" s="149"/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20"/>
        <v>0</v>
      </c>
      <c r="L67" s="28">
        <f t="shared" ref="L67:L103" si="25">+L66-K67</f>
        <v>7432</v>
      </c>
      <c r="M67" s="148"/>
      <c r="N67" s="148"/>
      <c r="O67" s="30" t="e">
        <f t="shared" si="18"/>
        <v>#DIV/0!</v>
      </c>
      <c r="P67" s="171"/>
      <c r="Q67" s="31">
        <f t="shared" si="19"/>
        <v>0</v>
      </c>
      <c r="R67" s="31"/>
      <c r="S67" s="28">
        <f t="shared" si="21"/>
        <v>0</v>
      </c>
      <c r="T67" s="28">
        <f t="shared" si="22"/>
        <v>0</v>
      </c>
      <c r="U67" s="28">
        <f t="shared" si="23"/>
        <v>0</v>
      </c>
      <c r="V67" s="28">
        <f t="shared" si="24"/>
        <v>0</v>
      </c>
      <c r="W67" s="31">
        <f t="shared" ref="W67:W103" si="26">+W66-V67</f>
        <v>7432</v>
      </c>
      <c r="X67" s="408"/>
      <c r="Y67" s="814" t="s">
        <v>117</v>
      </c>
      <c r="Z67" s="815"/>
      <c r="AA67" s="207">
        <f>H50</f>
        <v>0</v>
      </c>
      <c r="AB67" s="204"/>
      <c r="AC67" s="905"/>
      <c r="AD67" s="322"/>
      <c r="AE67" s="32"/>
      <c r="AF67" s="149"/>
      <c r="AG67" s="149"/>
      <c r="AH67" s="149"/>
      <c r="AI67" s="149"/>
      <c r="AJ67" s="149"/>
      <c r="AK67" s="149"/>
      <c r="AL67" s="149"/>
      <c r="AM67" s="149"/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20"/>
        <v>0</v>
      </c>
      <c r="L68" s="28">
        <f t="shared" si="25"/>
        <v>7432</v>
      </c>
      <c r="M68" s="148"/>
      <c r="N68" s="148"/>
      <c r="O68" s="30" t="e">
        <f t="shared" si="18"/>
        <v>#DIV/0!</v>
      </c>
      <c r="P68" s="171"/>
      <c r="Q68" s="31">
        <f t="shared" si="19"/>
        <v>0</v>
      </c>
      <c r="R68" s="31"/>
      <c r="S68" s="28">
        <f t="shared" si="21"/>
        <v>0</v>
      </c>
      <c r="T68" s="28">
        <f t="shared" si="22"/>
        <v>0</v>
      </c>
      <c r="U68" s="28">
        <f t="shared" si="23"/>
        <v>0</v>
      </c>
      <c r="V68" s="28">
        <f t="shared" si="24"/>
        <v>0</v>
      </c>
      <c r="W68" s="31">
        <f t="shared" si="26"/>
        <v>7432</v>
      </c>
      <c r="X68" s="211"/>
      <c r="Y68" s="814" t="s">
        <v>188</v>
      </c>
      <c r="Z68" s="815"/>
      <c r="AA68" s="207">
        <f>Z9*Z30</f>
        <v>496818.03600187838</v>
      </c>
      <c r="AB68" s="204"/>
      <c r="AC68" s="905"/>
      <c r="AD68" s="322"/>
      <c r="AE68" s="213"/>
      <c r="AF68" s="149"/>
      <c r="AG68" s="149"/>
      <c r="AH68" s="149"/>
      <c r="AI68" s="149"/>
      <c r="AJ68" s="149"/>
      <c r="AK68" s="149"/>
      <c r="AL68" s="149"/>
      <c r="AM68" s="149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20"/>
        <v>0</v>
      </c>
      <c r="L69" s="28">
        <f t="shared" si="25"/>
        <v>7432</v>
      </c>
      <c r="M69" s="148"/>
      <c r="N69" s="148"/>
      <c r="O69" s="30" t="e">
        <f t="shared" si="18"/>
        <v>#DIV/0!</v>
      </c>
      <c r="P69" s="171"/>
      <c r="Q69" s="31">
        <f t="shared" si="19"/>
        <v>0</v>
      </c>
      <c r="R69" s="31"/>
      <c r="S69" s="28">
        <f t="shared" si="21"/>
        <v>0</v>
      </c>
      <c r="T69" s="28">
        <f t="shared" si="22"/>
        <v>0</v>
      </c>
      <c r="U69" s="28">
        <f t="shared" si="23"/>
        <v>0</v>
      </c>
      <c r="V69" s="28">
        <f t="shared" si="24"/>
        <v>0</v>
      </c>
      <c r="W69" s="31">
        <f t="shared" si="26"/>
        <v>7432</v>
      </c>
      <c r="X69" s="211"/>
      <c r="Y69" s="816" t="s">
        <v>187</v>
      </c>
      <c r="Z69" s="817"/>
      <c r="AA69" s="409">
        <f>Z15*Z30</f>
        <v>0</v>
      </c>
      <c r="AB69" s="410"/>
      <c r="AC69" s="907"/>
      <c r="AD69" s="322"/>
      <c r="AF69" s="149"/>
      <c r="AG69" s="149"/>
      <c r="AH69" s="149"/>
      <c r="AI69" s="149"/>
      <c r="AJ69" s="149"/>
      <c r="AK69" s="149"/>
      <c r="AL69" s="149"/>
      <c r="AM69" s="149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20"/>
        <v>0</v>
      </c>
      <c r="L70" s="28">
        <f t="shared" si="25"/>
        <v>7432</v>
      </c>
      <c r="M70" s="148"/>
      <c r="N70" s="148"/>
      <c r="O70" s="30" t="e">
        <f t="shared" si="18"/>
        <v>#DIV/0!</v>
      </c>
      <c r="P70" s="171"/>
      <c r="Q70" s="31">
        <f t="shared" si="19"/>
        <v>0</v>
      </c>
      <c r="R70" s="31"/>
      <c r="S70" s="28">
        <f t="shared" si="21"/>
        <v>0</v>
      </c>
      <c r="T70" s="28">
        <f t="shared" si="22"/>
        <v>0</v>
      </c>
      <c r="U70" s="28">
        <f t="shared" si="23"/>
        <v>0</v>
      </c>
      <c r="V70" s="28">
        <f t="shared" si="24"/>
        <v>0</v>
      </c>
      <c r="W70" s="31">
        <f t="shared" si="26"/>
        <v>7432</v>
      </c>
      <c r="X70" s="211"/>
      <c r="Y70" s="213"/>
      <c r="Z70" s="232"/>
      <c r="AA70" s="213"/>
      <c r="AB70" s="213"/>
      <c r="AC70" s="213"/>
      <c r="AD70" s="233"/>
      <c r="AE70" s="233"/>
      <c r="AF70" s="149"/>
      <c r="AG70" s="149"/>
      <c r="AH70" s="149"/>
      <c r="AI70" s="149"/>
      <c r="AJ70" s="149"/>
      <c r="AK70" s="149"/>
      <c r="AL70" s="149"/>
      <c r="AM70" s="149"/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20"/>
        <v>0</v>
      </c>
      <c r="L71" s="28">
        <f t="shared" si="25"/>
        <v>7432</v>
      </c>
      <c r="M71" s="148"/>
      <c r="N71" s="148"/>
      <c r="O71" s="30" t="e">
        <f t="shared" si="18"/>
        <v>#DIV/0!</v>
      </c>
      <c r="P71" s="171"/>
      <c r="Q71" s="31">
        <f t="shared" si="19"/>
        <v>0</v>
      </c>
      <c r="R71" s="31"/>
      <c r="S71" s="28">
        <f t="shared" si="21"/>
        <v>0</v>
      </c>
      <c r="T71" s="28">
        <f t="shared" si="22"/>
        <v>0</v>
      </c>
      <c r="U71" s="28">
        <f t="shared" si="23"/>
        <v>0</v>
      </c>
      <c r="V71" s="28">
        <f t="shared" si="24"/>
        <v>0</v>
      </c>
      <c r="W71" s="31">
        <f t="shared" si="26"/>
        <v>7432</v>
      </c>
      <c r="X71" s="211"/>
      <c r="AF71" s="149"/>
      <c r="AG71" s="149"/>
      <c r="AH71" s="149"/>
      <c r="AI71" s="149"/>
      <c r="AJ71" s="149"/>
      <c r="AK71" s="149"/>
      <c r="AL71" s="149"/>
      <c r="AM71" s="149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20"/>
        <v>0</v>
      </c>
      <c r="L72" s="28">
        <f t="shared" si="25"/>
        <v>7432</v>
      </c>
      <c r="M72" s="148"/>
      <c r="N72" s="148"/>
      <c r="O72" s="30" t="e">
        <f t="shared" si="18"/>
        <v>#DIV/0!</v>
      </c>
      <c r="P72" s="171"/>
      <c r="Q72" s="31">
        <f t="shared" si="19"/>
        <v>0</v>
      </c>
      <c r="R72" s="31"/>
      <c r="S72" s="28">
        <f t="shared" si="21"/>
        <v>0</v>
      </c>
      <c r="T72" s="28">
        <f t="shared" si="22"/>
        <v>0</v>
      </c>
      <c r="U72" s="28">
        <f t="shared" si="23"/>
        <v>0</v>
      </c>
      <c r="V72" s="28">
        <f t="shared" si="24"/>
        <v>0</v>
      </c>
      <c r="W72" s="31">
        <f t="shared" si="26"/>
        <v>7432</v>
      </c>
      <c r="X72" s="211"/>
      <c r="Y72" s="214" t="s">
        <v>47</v>
      </c>
      <c r="Z72" s="215">
        <f ca="1">Z8</f>
        <v>41938</v>
      </c>
      <c r="AA72" s="818" t="s">
        <v>118</v>
      </c>
      <c r="AB72" s="818"/>
      <c r="AC72" s="818"/>
      <c r="AD72" s="216">
        <v>15.75</v>
      </c>
      <c r="AE72" s="217"/>
      <c r="AF72" s="218"/>
      <c r="AG72" s="149"/>
      <c r="AH72" s="149"/>
      <c r="AJ72" s="149"/>
      <c r="AK72" s="819" t="s">
        <v>128</v>
      </c>
      <c r="AL72" s="819" t="s">
        <v>272</v>
      </c>
      <c r="AM72" s="375"/>
      <c r="AN72" s="293"/>
      <c r="AO72" s="293"/>
      <c r="AP72" s="293"/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20"/>
        <v>0</v>
      </c>
      <c r="L73" s="28">
        <f t="shared" si="25"/>
        <v>7432</v>
      </c>
      <c r="M73" s="148"/>
      <c r="N73" s="148"/>
      <c r="O73" s="30" t="e">
        <f t="shared" si="18"/>
        <v>#DIV/0!</v>
      </c>
      <c r="P73" s="171"/>
      <c r="Q73" s="31">
        <f t="shared" si="19"/>
        <v>0</v>
      </c>
      <c r="R73" s="31"/>
      <c r="S73" s="28">
        <f t="shared" si="21"/>
        <v>0</v>
      </c>
      <c r="T73" s="28">
        <f t="shared" si="22"/>
        <v>0</v>
      </c>
      <c r="U73" s="28">
        <f t="shared" si="23"/>
        <v>0</v>
      </c>
      <c r="V73" s="28">
        <f t="shared" si="24"/>
        <v>0</v>
      </c>
      <c r="W73" s="31">
        <f t="shared" si="26"/>
        <v>7432</v>
      </c>
      <c r="X73" s="211"/>
      <c r="Y73" s="214" t="s">
        <v>119</v>
      </c>
      <c r="Z73" s="480">
        <f>AD72</f>
        <v>15.75</v>
      </c>
      <c r="AA73" s="760" t="s">
        <v>120</v>
      </c>
      <c r="AB73" s="760"/>
      <c r="AC73" s="760"/>
      <c r="AD73" s="219">
        <f>24-AD72</f>
        <v>8.25</v>
      </c>
      <c r="AE73" s="220"/>
      <c r="AF73" s="218"/>
      <c r="AG73" s="149"/>
      <c r="AH73" s="149"/>
      <c r="AI73" s="213"/>
      <c r="AJ73" s="149"/>
      <c r="AK73" s="819"/>
      <c r="AL73" s="819"/>
      <c r="AN73" s="373"/>
      <c r="AO73" s="373"/>
      <c r="AP73" s="19"/>
      <c r="AQ73" s="19"/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si="20"/>
        <v>0</v>
      </c>
      <c r="L74" s="28">
        <f t="shared" si="25"/>
        <v>7432</v>
      </c>
      <c r="M74" s="148"/>
      <c r="N74" s="148"/>
      <c r="O74" s="30" t="e">
        <f t="shared" si="18"/>
        <v>#DIV/0!</v>
      </c>
      <c r="P74" s="171"/>
      <c r="Q74" s="31">
        <f t="shared" si="19"/>
        <v>0</v>
      </c>
      <c r="R74" s="31"/>
      <c r="S74" s="28">
        <f t="shared" si="21"/>
        <v>0</v>
      </c>
      <c r="T74" s="28">
        <f t="shared" si="22"/>
        <v>0</v>
      </c>
      <c r="U74" s="28">
        <f t="shared" si="23"/>
        <v>0</v>
      </c>
      <c r="V74" s="28">
        <f t="shared" si="24"/>
        <v>0</v>
      </c>
      <c r="W74" s="31">
        <f t="shared" si="26"/>
        <v>7432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759" t="s">
        <v>127</v>
      </c>
      <c r="AJ74" s="149"/>
      <c r="AK74" s="819"/>
      <c r="AL74" s="819"/>
      <c r="AN74" s="19"/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0"/>
        <v>0</v>
      </c>
      <c r="L75" s="28">
        <f t="shared" si="25"/>
        <v>7432</v>
      </c>
      <c r="M75" s="148"/>
      <c r="N75" s="148"/>
      <c r="O75" s="30" t="e">
        <f t="shared" si="18"/>
        <v>#DIV/0!</v>
      </c>
      <c r="P75" s="171"/>
      <c r="Q75" s="31">
        <f t="shared" si="19"/>
        <v>0</v>
      </c>
      <c r="R75" s="31"/>
      <c r="S75" s="28">
        <f t="shared" si="21"/>
        <v>0</v>
      </c>
      <c r="T75" s="28">
        <f t="shared" si="22"/>
        <v>0</v>
      </c>
      <c r="U75" s="28">
        <f t="shared" si="23"/>
        <v>0</v>
      </c>
      <c r="V75" s="28">
        <f t="shared" si="24"/>
        <v>0</v>
      </c>
      <c r="W75" s="31">
        <f t="shared" si="26"/>
        <v>7432</v>
      </c>
      <c r="X75" s="211"/>
      <c r="Y75" s="759" t="s">
        <v>121</v>
      </c>
      <c r="Z75" s="759" t="s">
        <v>122</v>
      </c>
      <c r="AA75" s="759" t="s">
        <v>123</v>
      </c>
      <c r="AB75" s="820" t="s">
        <v>124</v>
      </c>
      <c r="AC75" s="821"/>
      <c r="AD75" s="822"/>
      <c r="AE75" s="759" t="s">
        <v>125</v>
      </c>
      <c r="AF75" s="759" t="s">
        <v>126</v>
      </c>
      <c r="AG75" s="149"/>
      <c r="AH75" s="759" t="s">
        <v>121</v>
      </c>
      <c r="AI75" s="759"/>
      <c r="AJ75" s="214" t="s">
        <v>7</v>
      </c>
      <c r="AK75" s="236" t="e">
        <f>((+AD78-AA78)/$AD$73)*24</f>
        <v>#REF!</v>
      </c>
      <c r="AL75" s="236" t="e">
        <f>AK75</f>
        <v>#REF!</v>
      </c>
      <c r="AN75" s="19"/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0"/>
        <v>0</v>
      </c>
      <c r="L76" s="28">
        <f t="shared" si="25"/>
        <v>7432</v>
      </c>
      <c r="M76" s="148"/>
      <c r="N76" s="148"/>
      <c r="O76" s="30" t="e">
        <f t="shared" si="18"/>
        <v>#DIV/0!</v>
      </c>
      <c r="P76" s="171"/>
      <c r="Q76" s="31">
        <f t="shared" si="19"/>
        <v>0</v>
      </c>
      <c r="R76" s="31"/>
      <c r="S76" s="28">
        <f t="shared" si="21"/>
        <v>0</v>
      </c>
      <c r="T76" s="28">
        <f t="shared" si="22"/>
        <v>0</v>
      </c>
      <c r="U76" s="28">
        <f t="shared" si="23"/>
        <v>0</v>
      </c>
      <c r="V76" s="28">
        <f t="shared" si="24"/>
        <v>0</v>
      </c>
      <c r="W76" s="31">
        <f t="shared" si="26"/>
        <v>7432</v>
      </c>
      <c r="X76" s="211"/>
      <c r="Y76" s="759"/>
      <c r="Z76" s="759"/>
      <c r="AA76" s="759"/>
      <c r="AB76" s="759"/>
      <c r="AC76" s="759"/>
      <c r="AD76" s="759"/>
      <c r="AE76" s="759"/>
      <c r="AF76" s="759"/>
      <c r="AG76" s="149"/>
      <c r="AH76" s="759"/>
      <c r="AI76" s="759"/>
      <c r="AJ76" s="214" t="s">
        <v>6</v>
      </c>
      <c r="AK76" s="236">
        <f>((+AD79-AA79)/$AD$73)*24</f>
        <v>333797.81818181818</v>
      </c>
      <c r="AL76" s="236">
        <f>+AK76</f>
        <v>333797.81818181818</v>
      </c>
      <c r="AM76" s="464"/>
      <c r="AN76" s="19"/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0"/>
        <v>0</v>
      </c>
      <c r="L77" s="28">
        <f t="shared" si="25"/>
        <v>7432</v>
      </c>
      <c r="M77" s="148"/>
      <c r="N77" s="148"/>
      <c r="O77" s="30" t="e">
        <f t="shared" si="18"/>
        <v>#DIV/0!</v>
      </c>
      <c r="P77" s="171"/>
      <c r="Q77" s="31">
        <f t="shared" si="19"/>
        <v>0</v>
      </c>
      <c r="R77" s="31"/>
      <c r="S77" s="28">
        <f t="shared" si="21"/>
        <v>0</v>
      </c>
      <c r="T77" s="28">
        <f t="shared" si="22"/>
        <v>0</v>
      </c>
      <c r="U77" s="28">
        <f t="shared" si="23"/>
        <v>0</v>
      </c>
      <c r="V77" s="28">
        <f t="shared" si="24"/>
        <v>0</v>
      </c>
      <c r="W77" s="31">
        <f t="shared" si="26"/>
        <v>7432</v>
      </c>
      <c r="X77" s="211"/>
      <c r="Y77" s="759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759"/>
      <c r="AI77" s="78"/>
      <c r="AJ77" s="214" t="s">
        <v>8</v>
      </c>
      <c r="AK77" s="236">
        <f>((+AD80-AA80)/$AD$73)*24</f>
        <v>58181.818181818177</v>
      </c>
      <c r="AL77" s="236">
        <f>AK77</f>
        <v>58181.818181818177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0"/>
        <v>0</v>
      </c>
      <c r="L78" s="28">
        <f t="shared" si="25"/>
        <v>7432</v>
      </c>
      <c r="M78" s="148"/>
      <c r="N78" s="148"/>
      <c r="O78" s="30" t="e">
        <f t="shared" si="18"/>
        <v>#DIV/0!</v>
      </c>
      <c r="P78" s="171"/>
      <c r="Q78" s="31">
        <f t="shared" si="19"/>
        <v>0</v>
      </c>
      <c r="R78" s="31"/>
      <c r="S78" s="28">
        <f t="shared" si="21"/>
        <v>0</v>
      </c>
      <c r="T78" s="28">
        <f t="shared" si="22"/>
        <v>0</v>
      </c>
      <c r="U78" s="28">
        <f t="shared" si="23"/>
        <v>0</v>
      </c>
      <c r="V78" s="28">
        <f t="shared" si="24"/>
        <v>0</v>
      </c>
      <c r="W78" s="31">
        <f t="shared" si="26"/>
        <v>7432</v>
      </c>
      <c r="X78" s="211"/>
      <c r="Y78" s="214" t="s">
        <v>7</v>
      </c>
      <c r="Z78" s="224">
        <v>93897</v>
      </c>
      <c r="AA78" s="225">
        <v>52000</v>
      </c>
      <c r="AB78" s="226">
        <f t="shared" ref="AB78:AC80" si="27">+Z58</f>
        <v>19602</v>
      </c>
      <c r="AC78" s="226">
        <f t="shared" si="27"/>
        <v>60460</v>
      </c>
      <c r="AD78" s="226" t="e">
        <f>+AB78+AC78+AB58+#REF!</f>
        <v>#REF!</v>
      </c>
      <c r="AE78" s="519">
        <f>+((AC58/24)*$AD$73)+AA78</f>
        <v>79521.3125</v>
      </c>
      <c r="AF78" s="227" t="e">
        <f>+AE78-AD78</f>
        <v>#REF!</v>
      </c>
      <c r="AG78" s="212"/>
      <c r="AH78" s="214" t="s">
        <v>7</v>
      </c>
      <c r="AI78" s="446">
        <f>+AA78</f>
        <v>52000</v>
      </c>
      <c r="AK78" s="231" t="e">
        <f>+SUM(AK75:AK77)</f>
        <v>#REF!</v>
      </c>
      <c r="AL78" s="231" t="e">
        <f>+SUM(AL75:AL77)</f>
        <v>#REF!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0"/>
        <v>0</v>
      </c>
      <c r="L79" s="28">
        <f t="shared" si="25"/>
        <v>7432</v>
      </c>
      <c r="M79" s="148"/>
      <c r="N79" s="148"/>
      <c r="O79" s="30" t="e">
        <f t="shared" si="18"/>
        <v>#DIV/0!</v>
      </c>
      <c r="P79" s="171"/>
      <c r="Q79" s="31">
        <f t="shared" si="19"/>
        <v>0</v>
      </c>
      <c r="R79" s="31"/>
      <c r="S79" s="28">
        <f t="shared" si="21"/>
        <v>0</v>
      </c>
      <c r="T79" s="28">
        <f t="shared" si="22"/>
        <v>0</v>
      </c>
      <c r="U79" s="28">
        <f t="shared" si="23"/>
        <v>0</v>
      </c>
      <c r="V79" s="28">
        <f t="shared" si="24"/>
        <v>0</v>
      </c>
      <c r="W79" s="31">
        <f t="shared" si="26"/>
        <v>7432</v>
      </c>
      <c r="X79" s="211"/>
      <c r="Y79" s="214" t="s">
        <v>6</v>
      </c>
      <c r="Z79" s="224">
        <v>323071</v>
      </c>
      <c r="AA79" s="225">
        <v>210000</v>
      </c>
      <c r="AB79" s="226">
        <f t="shared" si="27"/>
        <v>147898</v>
      </c>
      <c r="AC79" s="226">
        <f t="shared" si="27"/>
        <v>166845</v>
      </c>
      <c r="AD79" s="226">
        <f>+AB79+AC79+AB59</f>
        <v>324743</v>
      </c>
      <c r="AE79" s="519">
        <f>+((AC59/24)*$AD$73)+AA79</f>
        <v>321630.40625</v>
      </c>
      <c r="AF79" s="227">
        <f>+AE79-AD79</f>
        <v>-3112.59375</v>
      </c>
      <c r="AG79" s="212"/>
      <c r="AH79" s="214" t="s">
        <v>6</v>
      </c>
      <c r="AI79" s="446">
        <f>+AA79</f>
        <v>210000</v>
      </c>
      <c r="AJ79" s="53"/>
      <c r="AK79" s="481">
        <f>Z10</f>
        <v>496818</v>
      </c>
      <c r="AL79" s="481" t="e">
        <f>AK79-AK78</f>
        <v>#REF!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0"/>
        <v>0</v>
      </c>
      <c r="L80" s="28">
        <f t="shared" si="25"/>
        <v>7432</v>
      </c>
      <c r="M80" s="148"/>
      <c r="N80" s="234"/>
      <c r="O80" s="30" t="e">
        <f t="shared" si="18"/>
        <v>#DIV/0!</v>
      </c>
      <c r="P80" s="179"/>
      <c r="Q80" s="31">
        <f t="shared" si="19"/>
        <v>0</v>
      </c>
      <c r="R80" s="31"/>
      <c r="S80" s="28">
        <f t="shared" si="21"/>
        <v>0</v>
      </c>
      <c r="T80" s="28">
        <f t="shared" si="22"/>
        <v>0</v>
      </c>
      <c r="U80" s="28">
        <f t="shared" si="23"/>
        <v>0</v>
      </c>
      <c r="V80" s="28">
        <f t="shared" si="24"/>
        <v>0</v>
      </c>
      <c r="W80" s="31">
        <f t="shared" si="26"/>
        <v>7432</v>
      </c>
      <c r="X80" s="211"/>
      <c r="Y80" s="214" t="s">
        <v>8</v>
      </c>
      <c r="Z80" s="224">
        <v>80000</v>
      </c>
      <c r="AA80" s="225">
        <v>60000</v>
      </c>
      <c r="AB80" s="226">
        <f t="shared" si="27"/>
        <v>34400</v>
      </c>
      <c r="AC80" s="226">
        <f t="shared" si="27"/>
        <v>45600</v>
      </c>
      <c r="AD80" s="226">
        <f>+AB80+AC80</f>
        <v>80000</v>
      </c>
      <c r="AE80" s="519">
        <f>+((AC60/24)*$AD$73)+AA80</f>
        <v>87500</v>
      </c>
      <c r="AF80" s="227">
        <f>+AE80-AD80</f>
        <v>7500</v>
      </c>
      <c r="AG80" s="149"/>
      <c r="AH80" s="214" t="s">
        <v>8</v>
      </c>
      <c r="AI80" s="447">
        <f>+AA80</f>
        <v>60000</v>
      </c>
      <c r="AK80" s="235" t="s">
        <v>131</v>
      </c>
      <c r="AL80" s="236">
        <v>0</v>
      </c>
    </row>
    <row r="81" spans="1:43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0"/>
        <v>0</v>
      </c>
      <c r="L81" s="28">
        <f t="shared" si="25"/>
        <v>7432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9"/>
        <v>0</v>
      </c>
      <c r="R81" s="31"/>
      <c r="S81" s="28">
        <f t="shared" si="21"/>
        <v>0</v>
      </c>
      <c r="T81" s="28">
        <f t="shared" si="22"/>
        <v>0</v>
      </c>
      <c r="U81" s="28">
        <f t="shared" si="23"/>
        <v>0</v>
      </c>
      <c r="V81" s="28">
        <f t="shared" si="24"/>
        <v>0</v>
      </c>
      <c r="W81" s="31">
        <f t="shared" si="26"/>
        <v>7432</v>
      </c>
      <c r="X81" s="211"/>
      <c r="Y81" s="228" t="s">
        <v>130</v>
      </c>
      <c r="Z81" s="229">
        <f t="shared" ref="Z81:AE81" si="28">SUM(Z78:Z80)</f>
        <v>496968</v>
      </c>
      <c r="AA81" s="230">
        <f t="shared" si="28"/>
        <v>322000</v>
      </c>
      <c r="AB81" s="229">
        <f t="shared" si="28"/>
        <v>201900</v>
      </c>
      <c r="AC81" s="229">
        <f t="shared" si="28"/>
        <v>272905</v>
      </c>
      <c r="AD81" s="229" t="e">
        <f t="shared" si="28"/>
        <v>#REF!</v>
      </c>
      <c r="AE81" s="229">
        <f t="shared" si="28"/>
        <v>488651.71875</v>
      </c>
      <c r="AF81" s="227" t="e">
        <f>+SUM(AF78:AF80)</f>
        <v>#REF!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3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0"/>
        <v>0</v>
      </c>
      <c r="L82" s="28">
        <f t="shared" si="25"/>
        <v>7432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21"/>
        <v>0</v>
      </c>
      <c r="T82" s="28">
        <f t="shared" si="22"/>
        <v>0</v>
      </c>
      <c r="U82" s="28">
        <f t="shared" si="23"/>
        <v>0</v>
      </c>
      <c r="V82" s="28">
        <f t="shared" si="24"/>
        <v>0</v>
      </c>
      <c r="W82" s="31">
        <f t="shared" si="26"/>
        <v>7432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3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0"/>
        <v>0</v>
      </c>
      <c r="L83" s="28">
        <f t="shared" si="25"/>
        <v>7432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21"/>
        <v>0</v>
      </c>
      <c r="T83" s="28">
        <f t="shared" si="22"/>
        <v>0</v>
      </c>
      <c r="U83" s="28">
        <f t="shared" si="23"/>
        <v>0</v>
      </c>
      <c r="V83" s="28">
        <f t="shared" si="24"/>
        <v>0</v>
      </c>
      <c r="W83" s="31">
        <f t="shared" si="26"/>
        <v>7432</v>
      </c>
      <c r="X83" s="211"/>
      <c r="Z83" s="232"/>
      <c r="AF83" s="233"/>
      <c r="AH83" s="20"/>
      <c r="AI83" s="20"/>
    </row>
    <row r="84" spans="1:43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0"/>
        <v>0</v>
      </c>
      <c r="L84" s="28">
        <f t="shared" si="25"/>
        <v>7432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21"/>
        <v>0</v>
      </c>
      <c r="T84" s="28">
        <f t="shared" si="22"/>
        <v>0</v>
      </c>
      <c r="U84" s="28">
        <f t="shared" si="23"/>
        <v>0</v>
      </c>
      <c r="V84" s="28">
        <f t="shared" si="24"/>
        <v>0</v>
      </c>
      <c r="W84" s="31">
        <f t="shared" si="26"/>
        <v>7432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3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0"/>
        <v>0</v>
      </c>
      <c r="L85" s="28">
        <f t="shared" si="25"/>
        <v>7432</v>
      </c>
      <c r="M85" s="810"/>
      <c r="N85" s="810">
        <f>SUM(K85:K93)</f>
        <v>0</v>
      </c>
      <c r="O85" s="30" t="e">
        <f t="shared" ref="O85:O93" si="29">+K85/$N$85</f>
        <v>#DIV/0!</v>
      </c>
      <c r="P85" s="238"/>
      <c r="Q85" s="31">
        <f t="shared" ref="Q85:Q103" si="30">IF($P$85=0,0,(-($P$85*O85)+K85)-K85)</f>
        <v>0</v>
      </c>
      <c r="R85" s="31"/>
      <c r="S85" s="28">
        <f t="shared" si="21"/>
        <v>0</v>
      </c>
      <c r="T85" s="28">
        <f t="shared" si="22"/>
        <v>0</v>
      </c>
      <c r="U85" s="28">
        <f t="shared" si="23"/>
        <v>0</v>
      </c>
      <c r="V85" s="28">
        <f t="shared" si="24"/>
        <v>0</v>
      </c>
      <c r="W85" s="31">
        <f t="shared" si="26"/>
        <v>7432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3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0"/>
        <v>0</v>
      </c>
      <c r="L86" s="28">
        <f t="shared" si="25"/>
        <v>7432</v>
      </c>
      <c r="M86" s="810"/>
      <c r="N86" s="810"/>
      <c r="O86" s="30" t="e">
        <f t="shared" si="29"/>
        <v>#DIV/0!</v>
      </c>
      <c r="P86" s="171"/>
      <c r="Q86" s="31">
        <f t="shared" si="30"/>
        <v>0</v>
      </c>
      <c r="R86" s="31"/>
      <c r="S86" s="28">
        <f t="shared" si="21"/>
        <v>0</v>
      </c>
      <c r="T86" s="28">
        <f t="shared" si="22"/>
        <v>0</v>
      </c>
      <c r="U86" s="28">
        <f t="shared" si="23"/>
        <v>0</v>
      </c>
      <c r="V86" s="28">
        <f t="shared" si="24"/>
        <v>0</v>
      </c>
      <c r="W86" s="31">
        <f t="shared" si="26"/>
        <v>7432</v>
      </c>
      <c r="Y86" s="14" t="s">
        <v>177</v>
      </c>
      <c r="Z86" s="336" t="s">
        <v>178</v>
      </c>
      <c r="AA86" s="337">
        <f>+AA81</f>
        <v>322000</v>
      </c>
      <c r="AB86" s="337">
        <f>AA87-AA86</f>
        <v>-49810.270833333314</v>
      </c>
      <c r="AC86" s="42">
        <f>AB86*24/5.5</f>
        <v>-217353.909090909</v>
      </c>
      <c r="AD86" s="338">
        <f>AC86+353111</f>
        <v>135757.090909091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654">
        <f>60241+AG86</f>
        <v>25806.545454545463</v>
      </c>
      <c r="AI86" s="116"/>
      <c r="AJ86" s="116"/>
      <c r="AK86" s="116"/>
      <c r="AL86" s="116"/>
      <c r="AM86" s="116"/>
      <c r="AN86" s="116"/>
      <c r="AO86" s="116"/>
      <c r="AP86" s="116"/>
      <c r="AQ86" s="116"/>
    </row>
    <row r="87" spans="1:43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0"/>
        <v>0</v>
      </c>
      <c r="L87" s="28">
        <f t="shared" si="25"/>
        <v>7432</v>
      </c>
      <c r="M87" s="810"/>
      <c r="N87" s="810"/>
      <c r="O87" s="30" t="e">
        <f t="shared" si="29"/>
        <v>#DIV/0!</v>
      </c>
      <c r="P87" s="171"/>
      <c r="Q87" s="31">
        <f t="shared" si="30"/>
        <v>0</v>
      </c>
      <c r="R87" s="31"/>
      <c r="S87" s="28">
        <f t="shared" si="21"/>
        <v>0</v>
      </c>
      <c r="T87" s="28">
        <f t="shared" si="22"/>
        <v>0</v>
      </c>
      <c r="U87" s="28">
        <f t="shared" si="23"/>
        <v>0</v>
      </c>
      <c r="V87" s="28">
        <f t="shared" si="24"/>
        <v>0</v>
      </c>
      <c r="W87" s="31">
        <f t="shared" si="26"/>
        <v>7432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31111.000000000022</v>
      </c>
      <c r="AE87" s="42">
        <f>60241*18.5/24</f>
        <v>46435.770833333336</v>
      </c>
      <c r="AF87" s="14"/>
      <c r="AG87" s="14"/>
      <c r="AH87" s="641">
        <f>AH86/24*5.5</f>
        <v>5914.0000000000027</v>
      </c>
      <c r="AI87" s="116"/>
      <c r="AJ87" s="116"/>
      <c r="AK87" s="116"/>
      <c r="AL87" s="116"/>
      <c r="AM87" s="116"/>
      <c r="AN87" s="116"/>
      <c r="AO87" s="116"/>
      <c r="AP87" s="116"/>
      <c r="AQ87" s="116"/>
    </row>
    <row r="88" spans="1:43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0"/>
        <v>0</v>
      </c>
      <c r="L88" s="28">
        <f t="shared" si="25"/>
        <v>7432</v>
      </c>
      <c r="M88" s="810"/>
      <c r="N88" s="810"/>
      <c r="O88" s="30" t="e">
        <f t="shared" si="29"/>
        <v>#DIV/0!</v>
      </c>
      <c r="P88" s="171"/>
      <c r="Q88" s="31">
        <f t="shared" si="30"/>
        <v>0</v>
      </c>
      <c r="R88" s="31"/>
      <c r="S88" s="28">
        <f t="shared" si="21"/>
        <v>0</v>
      </c>
      <c r="T88" s="28">
        <f t="shared" si="22"/>
        <v>0</v>
      </c>
      <c r="U88" s="28">
        <f t="shared" si="23"/>
        <v>0</v>
      </c>
      <c r="V88" s="28">
        <f t="shared" si="24"/>
        <v>0</v>
      </c>
      <c r="W88" s="31">
        <f t="shared" si="26"/>
        <v>7432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655">
        <f>AH87+AE86</f>
        <v>60241</v>
      </c>
      <c r="AI88" s="116"/>
      <c r="AJ88" s="656"/>
      <c r="AK88" s="657"/>
      <c r="AL88" s="116"/>
      <c r="AM88" s="656"/>
      <c r="AN88" s="657"/>
      <c r="AO88" s="116"/>
      <c r="AP88" s="116"/>
      <c r="AQ88" s="116"/>
    </row>
    <row r="89" spans="1:43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0"/>
        <v>0</v>
      </c>
      <c r="L89" s="28">
        <f t="shared" si="25"/>
        <v>7432</v>
      </c>
      <c r="M89" s="810"/>
      <c r="N89" s="810"/>
      <c r="O89" s="30" t="e">
        <f t="shared" si="29"/>
        <v>#DIV/0!</v>
      </c>
      <c r="P89" s="171"/>
      <c r="Q89" s="31">
        <f t="shared" si="30"/>
        <v>0</v>
      </c>
      <c r="R89" s="31"/>
      <c r="S89" s="28">
        <f t="shared" si="21"/>
        <v>0</v>
      </c>
      <c r="T89" s="28">
        <f t="shared" si="22"/>
        <v>0</v>
      </c>
      <c r="U89" s="28">
        <f t="shared" si="23"/>
        <v>0</v>
      </c>
      <c r="V89" s="28">
        <f t="shared" si="24"/>
        <v>0</v>
      </c>
      <c r="W89" s="31">
        <f t="shared" si="26"/>
        <v>7432</v>
      </c>
      <c r="AG89" s="35"/>
      <c r="AH89" s="35"/>
      <c r="AI89" s="116"/>
      <c r="AJ89" s="248"/>
      <c r="AK89" s="510"/>
      <c r="AL89" s="116"/>
      <c r="AM89" s="248"/>
      <c r="AN89" s="510"/>
      <c r="AO89" s="116"/>
      <c r="AP89" s="116"/>
      <c r="AQ89" s="116"/>
    </row>
    <row r="90" spans="1:43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0"/>
        <v>0</v>
      </c>
      <c r="L90" s="28">
        <f t="shared" si="25"/>
        <v>7432</v>
      </c>
      <c r="M90" s="810"/>
      <c r="N90" s="810"/>
      <c r="O90" s="30" t="e">
        <f t="shared" si="29"/>
        <v>#DIV/0!</v>
      </c>
      <c r="P90" s="171"/>
      <c r="Q90" s="31">
        <f t="shared" si="30"/>
        <v>0</v>
      </c>
      <c r="R90" s="31"/>
      <c r="S90" s="28">
        <f t="shared" si="21"/>
        <v>0</v>
      </c>
      <c r="T90" s="28">
        <f t="shared" si="22"/>
        <v>0</v>
      </c>
      <c r="U90" s="28">
        <f t="shared" si="23"/>
        <v>0</v>
      </c>
      <c r="V90" s="28">
        <f t="shared" si="24"/>
        <v>0</v>
      </c>
      <c r="W90" s="31">
        <f t="shared" si="26"/>
        <v>7432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116"/>
      <c r="AJ90" s="248"/>
      <c r="AK90" s="510"/>
      <c r="AL90" s="116"/>
      <c r="AM90" s="248"/>
      <c r="AN90" s="510"/>
      <c r="AO90" s="116"/>
      <c r="AP90" s="116"/>
      <c r="AQ90" s="116"/>
    </row>
    <row r="91" spans="1:43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0"/>
        <v>0</v>
      </c>
      <c r="L91" s="28">
        <f t="shared" si="25"/>
        <v>7432</v>
      </c>
      <c r="M91" s="810"/>
      <c r="N91" s="810"/>
      <c r="O91" s="30" t="e">
        <f t="shared" si="29"/>
        <v>#DIV/0!</v>
      </c>
      <c r="P91" s="171"/>
      <c r="Q91" s="31">
        <f t="shared" si="30"/>
        <v>0</v>
      </c>
      <c r="R91" s="31"/>
      <c r="S91" s="28">
        <f t="shared" si="21"/>
        <v>0</v>
      </c>
      <c r="T91" s="28">
        <f t="shared" si="22"/>
        <v>0</v>
      </c>
      <c r="U91" s="28">
        <f t="shared" si="23"/>
        <v>0</v>
      </c>
      <c r="V91" s="28">
        <f t="shared" si="24"/>
        <v>0</v>
      </c>
      <c r="W91" s="31">
        <f t="shared" si="26"/>
        <v>7432</v>
      </c>
      <c r="Y91" s="486" t="s">
        <v>279</v>
      </c>
      <c r="Z91" s="486" t="s">
        <v>280</v>
      </c>
      <c r="AA91" s="487" t="s">
        <v>281</v>
      </c>
      <c r="AB91" s="625" t="s">
        <v>282</v>
      </c>
      <c r="AC91" s="345"/>
      <c r="AD91" s="350"/>
      <c r="AE91" s="149"/>
      <c r="AF91" s="351"/>
      <c r="AG91" s="149"/>
      <c r="AH91" s="149"/>
      <c r="AI91" s="116"/>
      <c r="AJ91" s="287"/>
      <c r="AK91" s="645"/>
      <c r="AL91" s="116"/>
      <c r="AM91" s="248"/>
      <c r="AN91" s="510"/>
      <c r="AO91" s="116"/>
      <c r="AP91" s="116"/>
      <c r="AQ91" s="116"/>
    </row>
    <row r="92" spans="1:43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0"/>
        <v>0</v>
      </c>
      <c r="L92" s="28">
        <f t="shared" si="25"/>
        <v>7432</v>
      </c>
      <c r="M92" s="810"/>
      <c r="N92" s="810"/>
      <c r="O92" s="30" t="e">
        <f t="shared" si="29"/>
        <v>#DIV/0!</v>
      </c>
      <c r="P92" s="171"/>
      <c r="Q92" s="31">
        <f t="shared" si="30"/>
        <v>0</v>
      </c>
      <c r="R92" s="31"/>
      <c r="S92" s="28">
        <f t="shared" si="21"/>
        <v>0</v>
      </c>
      <c r="T92" s="28">
        <f t="shared" si="22"/>
        <v>0</v>
      </c>
      <c r="U92" s="28">
        <f t="shared" si="23"/>
        <v>0</v>
      </c>
      <c r="V92" s="28">
        <f t="shared" si="24"/>
        <v>0</v>
      </c>
      <c r="W92" s="31">
        <f t="shared" si="26"/>
        <v>7432</v>
      </c>
      <c r="Y92" s="882" t="s">
        <v>158</v>
      </c>
      <c r="Z92" s="586" t="s">
        <v>283</v>
      </c>
      <c r="AA92" s="699">
        <f>(SUMIF($D$2:$D$57,"domiciliario",$I$2:$I$103))/1000</f>
        <v>16.349</v>
      </c>
      <c r="AB92" s="700">
        <f>(SUMIF($D$2:$D$57,"domiciliario",$T$2:$T$103))/1000</f>
        <v>16.349</v>
      </c>
      <c r="AC92" s="345"/>
      <c r="AD92" s="352"/>
      <c r="AE92" s="35"/>
      <c r="AF92" s="35"/>
      <c r="AG92" s="35"/>
      <c r="AH92" s="35"/>
      <c r="AI92" s="116"/>
      <c r="AJ92" s="248"/>
      <c r="AK92" s="510"/>
      <c r="AL92" s="116"/>
      <c r="AM92" s="287"/>
      <c r="AN92" s="645"/>
      <c r="AO92" s="116"/>
      <c r="AP92" s="116"/>
      <c r="AQ92" s="116"/>
    </row>
    <row r="93" spans="1:43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0"/>
        <v>0</v>
      </c>
      <c r="L93" s="28">
        <f t="shared" si="25"/>
        <v>7432</v>
      </c>
      <c r="M93" s="810"/>
      <c r="N93" s="810"/>
      <c r="O93" s="30" t="e">
        <f t="shared" si="29"/>
        <v>#DIV/0!</v>
      </c>
      <c r="P93" s="179"/>
      <c r="Q93" s="31">
        <f t="shared" si="30"/>
        <v>0</v>
      </c>
      <c r="R93" s="31"/>
      <c r="S93" s="28">
        <f t="shared" si="21"/>
        <v>0</v>
      </c>
      <c r="T93" s="28">
        <f t="shared" si="22"/>
        <v>0</v>
      </c>
      <c r="U93" s="28">
        <f t="shared" si="23"/>
        <v>0</v>
      </c>
      <c r="V93" s="28">
        <f t="shared" si="24"/>
        <v>0</v>
      </c>
      <c r="W93" s="31">
        <f t="shared" si="26"/>
        <v>7432</v>
      </c>
      <c r="Y93" s="883"/>
      <c r="Z93" s="588" t="s">
        <v>284</v>
      </c>
      <c r="AA93" s="701">
        <f>(SUMIF($D$2:$D$57,"industrial",$I$2:$I$103))/1000</f>
        <v>0</v>
      </c>
      <c r="AB93" s="702">
        <f>(SUMIF($D$2:$D$57,"industrial",$T$2:$T$103))/1000</f>
        <v>0</v>
      </c>
      <c r="AC93" s="345"/>
      <c r="AD93" s="353"/>
      <c r="AE93" s="35"/>
      <c r="AF93" s="35"/>
      <c r="AG93" s="35"/>
      <c r="AH93" s="35"/>
      <c r="AI93" s="116"/>
      <c r="AJ93" s="248"/>
      <c r="AK93" s="510"/>
      <c r="AL93" s="116"/>
      <c r="AM93" s="248"/>
      <c r="AN93" s="510"/>
      <c r="AO93" s="116"/>
      <c r="AP93" s="116"/>
      <c r="AQ93" s="116"/>
    </row>
    <row r="94" spans="1:43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0"/>
        <v>0</v>
      </c>
      <c r="L94" s="28">
        <f t="shared" si="25"/>
        <v>7432</v>
      </c>
      <c r="M94" s="810"/>
      <c r="N94" s="810">
        <f>SUM(K94:K103)</f>
        <v>0</v>
      </c>
      <c r="O94" s="30">
        <f t="shared" ref="O94:O103" si="31">IF($N$94=0,0,+K94/$N$94)</f>
        <v>0</v>
      </c>
      <c r="P94" s="238"/>
      <c r="Q94" s="31">
        <f t="shared" si="30"/>
        <v>0</v>
      </c>
      <c r="R94" s="31"/>
      <c r="S94" s="28">
        <f t="shared" si="21"/>
        <v>0</v>
      </c>
      <c r="T94" s="28">
        <f t="shared" si="22"/>
        <v>0</v>
      </c>
      <c r="U94" s="28">
        <f t="shared" si="23"/>
        <v>0</v>
      </c>
      <c r="V94" s="28">
        <f t="shared" si="24"/>
        <v>0</v>
      </c>
      <c r="W94" s="31">
        <f t="shared" si="26"/>
        <v>7432</v>
      </c>
      <c r="Y94" s="883"/>
      <c r="Z94" s="588" t="s">
        <v>80</v>
      </c>
      <c r="AA94" s="701">
        <f>(SUMIF($D$2:$D$57,"gnv",$I$2:$I$103))/1000</f>
        <v>0.253</v>
      </c>
      <c r="AB94" s="702">
        <f>(SUMIF($D$2:$D$57,"gnv",$T$2:$T$103))/1000</f>
        <v>0.253</v>
      </c>
      <c r="AC94" s="345"/>
      <c r="AD94" s="35"/>
      <c r="AE94" s="35"/>
      <c r="AF94" s="35"/>
      <c r="AG94" s="35"/>
      <c r="AH94" s="35"/>
      <c r="AI94" s="116"/>
      <c r="AJ94" s="248"/>
      <c r="AK94" s="510"/>
      <c r="AL94" s="116"/>
      <c r="AM94" s="287"/>
      <c r="AN94" s="645"/>
      <c r="AO94" s="116"/>
      <c r="AP94" s="116"/>
      <c r="AQ94" s="116"/>
    </row>
    <row r="95" spans="1:43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0"/>
        <v>0</v>
      </c>
      <c r="L95" s="28">
        <f t="shared" si="25"/>
        <v>7432</v>
      </c>
      <c r="M95" s="810"/>
      <c r="N95" s="810"/>
      <c r="O95" s="30">
        <f t="shared" si="31"/>
        <v>0</v>
      </c>
      <c r="P95" s="171"/>
      <c r="Q95" s="31">
        <f t="shared" si="30"/>
        <v>0</v>
      </c>
      <c r="R95" s="31"/>
      <c r="S95" s="28">
        <f t="shared" si="21"/>
        <v>0</v>
      </c>
      <c r="T95" s="28">
        <f t="shared" si="22"/>
        <v>0</v>
      </c>
      <c r="U95" s="28">
        <f t="shared" si="23"/>
        <v>0</v>
      </c>
      <c r="V95" s="28">
        <f t="shared" si="24"/>
        <v>0</v>
      </c>
      <c r="W95" s="31">
        <f t="shared" si="26"/>
        <v>7432</v>
      </c>
      <c r="Y95" s="883"/>
      <c r="Z95" s="588" t="s">
        <v>285</v>
      </c>
      <c r="AA95" s="701">
        <f>(SUMIF($D$2:$D$57,"termico",$I$2:$I$103)+SUMIF($D$2:$D$57,"electrico",$I$2:$I$103)+SUMIF($D$2:$D$57,"térmico",$I$2:$I$103))/1000</f>
        <v>3</v>
      </c>
      <c r="AB95" s="702">
        <f>(SUMIF($D$2:$D$57,"termico",$T$2:$T$103)+SUMIF($D$2:$D$57,"electrico",$T$2:$T$103)+SUMIF($D$2:$D$57,"térmico",$T$2:$T$103))/1000</f>
        <v>3</v>
      </c>
      <c r="AC95" s="345"/>
      <c r="AD95" s="35"/>
      <c r="AE95" s="35"/>
      <c r="AF95" s="35"/>
      <c r="AG95" s="356"/>
      <c r="AH95" s="35"/>
      <c r="AI95" s="116"/>
      <c r="AJ95" s="248"/>
      <c r="AK95" s="510"/>
      <c r="AL95" s="116"/>
      <c r="AM95" s="248"/>
      <c r="AN95" s="510"/>
      <c r="AO95" s="116"/>
      <c r="AP95" s="116"/>
      <c r="AQ95" s="116"/>
    </row>
    <row r="96" spans="1:43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0"/>
        <v>0</v>
      </c>
      <c r="L96" s="28">
        <f t="shared" si="25"/>
        <v>7432</v>
      </c>
      <c r="M96" s="810"/>
      <c r="N96" s="810"/>
      <c r="O96" s="30">
        <f t="shared" si="31"/>
        <v>0</v>
      </c>
      <c r="P96" s="171"/>
      <c r="Q96" s="31">
        <f t="shared" si="30"/>
        <v>0</v>
      </c>
      <c r="R96" s="31"/>
      <c r="S96" s="28">
        <f t="shared" si="21"/>
        <v>0</v>
      </c>
      <c r="T96" s="28">
        <f t="shared" si="22"/>
        <v>0</v>
      </c>
      <c r="U96" s="28">
        <f t="shared" si="23"/>
        <v>0</v>
      </c>
      <c r="V96" s="28">
        <f t="shared" si="24"/>
        <v>0</v>
      </c>
      <c r="W96" s="31">
        <f t="shared" si="26"/>
        <v>7432</v>
      </c>
      <c r="Y96" s="884"/>
      <c r="Z96" s="692" t="s">
        <v>286</v>
      </c>
      <c r="AA96" s="703"/>
      <c r="AB96" s="704"/>
      <c r="AC96" s="345"/>
      <c r="AD96" s="35"/>
      <c r="AE96" s="35"/>
      <c r="AF96" s="353"/>
      <c r="AG96" s="35"/>
      <c r="AH96" s="35"/>
      <c r="AI96" s="116"/>
      <c r="AJ96" s="287"/>
      <c r="AK96" s="645"/>
      <c r="AL96" s="116"/>
      <c r="AM96" s="287"/>
      <c r="AN96" s="645"/>
      <c r="AO96" s="116"/>
      <c r="AP96" s="116"/>
      <c r="AQ96" s="116"/>
    </row>
    <row r="97" spans="1:43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0"/>
        <v>0</v>
      </c>
      <c r="L97" s="28">
        <f t="shared" si="25"/>
        <v>7432</v>
      </c>
      <c r="M97" s="810"/>
      <c r="N97" s="810"/>
      <c r="O97" s="30">
        <f t="shared" si="31"/>
        <v>0</v>
      </c>
      <c r="P97" s="171"/>
      <c r="Q97" s="31">
        <f t="shared" si="30"/>
        <v>0</v>
      </c>
      <c r="R97" s="31"/>
      <c r="S97" s="28">
        <f t="shared" si="21"/>
        <v>0</v>
      </c>
      <c r="T97" s="28">
        <f t="shared" si="22"/>
        <v>0</v>
      </c>
      <c r="U97" s="28">
        <f t="shared" si="23"/>
        <v>0</v>
      </c>
      <c r="V97" s="28">
        <f t="shared" si="24"/>
        <v>0</v>
      </c>
      <c r="W97" s="31">
        <f t="shared" si="26"/>
        <v>7432</v>
      </c>
      <c r="Y97" s="825" t="s">
        <v>154</v>
      </c>
      <c r="Z97" s="489" t="s">
        <v>283</v>
      </c>
      <c r="AA97" s="705">
        <f>(SUMIF($D$2:$D$57,"domiciliario",$H$2:$H$103))/1000</f>
        <v>31.850999999999999</v>
      </c>
      <c r="AB97" s="706">
        <f>(SUMIF($D$2:$D$57,"domiciliario",$S$2:$S$103))/1000</f>
        <v>31.850999999999999</v>
      </c>
      <c r="AC97" s="345"/>
      <c r="AD97" s="35"/>
      <c r="AE97" s="35"/>
      <c r="AF97" s="353"/>
      <c r="AG97" s="35"/>
      <c r="AH97" s="35"/>
      <c r="AI97" s="116"/>
      <c r="AJ97" s="248"/>
      <c r="AK97" s="510"/>
      <c r="AL97" s="116"/>
      <c r="AM97" s="116"/>
      <c r="AN97" s="116"/>
      <c r="AO97" s="116"/>
      <c r="AP97" s="116"/>
      <c r="AQ97" s="116"/>
    </row>
    <row r="98" spans="1:43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0"/>
        <v>0</v>
      </c>
      <c r="L98" s="28">
        <f t="shared" si="25"/>
        <v>7432</v>
      </c>
      <c r="M98" s="810"/>
      <c r="N98" s="810"/>
      <c r="O98" s="30">
        <f t="shared" si="31"/>
        <v>0</v>
      </c>
      <c r="P98" s="171"/>
      <c r="Q98" s="31">
        <f t="shared" si="30"/>
        <v>0</v>
      </c>
      <c r="R98" s="31"/>
      <c r="S98" s="28">
        <f t="shared" si="21"/>
        <v>0</v>
      </c>
      <c r="T98" s="28">
        <f t="shared" si="22"/>
        <v>0</v>
      </c>
      <c r="U98" s="28">
        <f t="shared" si="23"/>
        <v>0</v>
      </c>
      <c r="V98" s="28">
        <f t="shared" si="24"/>
        <v>0</v>
      </c>
      <c r="W98" s="31">
        <f t="shared" si="26"/>
        <v>7432</v>
      </c>
      <c r="Y98" s="826"/>
      <c r="Z98" s="492" t="s">
        <v>284</v>
      </c>
      <c r="AA98" s="707">
        <f>(SUMIF($D$2:$D$57,"industrial",$H$2:$H$103))/1000</f>
        <v>14.247</v>
      </c>
      <c r="AB98" s="708">
        <f>(SUMIF($D$2:$D$57,"industrial",$S$2:$S$103))/1000</f>
        <v>14.247</v>
      </c>
      <c r="AC98" s="345"/>
      <c r="AD98" s="35"/>
      <c r="AE98" s="35"/>
      <c r="AF98" s="353"/>
      <c r="AG98" s="35"/>
      <c r="AH98" s="35"/>
      <c r="AI98" s="116"/>
      <c r="AJ98" s="248"/>
      <c r="AK98" s="510"/>
      <c r="AL98" s="116"/>
      <c r="AM98" s="116"/>
      <c r="AN98" s="116"/>
      <c r="AO98" s="116"/>
      <c r="AP98" s="116"/>
      <c r="AQ98" s="116"/>
    </row>
    <row r="99" spans="1:43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0"/>
        <v>0</v>
      </c>
      <c r="L99" s="28">
        <f t="shared" si="25"/>
        <v>7432</v>
      </c>
      <c r="M99" s="810"/>
      <c r="N99" s="810"/>
      <c r="O99" s="30">
        <f t="shared" si="31"/>
        <v>0</v>
      </c>
      <c r="P99" s="171"/>
      <c r="Q99" s="31">
        <f t="shared" si="30"/>
        <v>0</v>
      </c>
      <c r="R99" s="31"/>
      <c r="S99" s="28">
        <f t="shared" si="21"/>
        <v>0</v>
      </c>
      <c r="T99" s="28">
        <f t="shared" si="22"/>
        <v>0</v>
      </c>
      <c r="U99" s="28">
        <f t="shared" si="23"/>
        <v>0</v>
      </c>
      <c r="V99" s="28">
        <f t="shared" si="24"/>
        <v>0</v>
      </c>
      <c r="W99" s="31">
        <f t="shared" si="26"/>
        <v>7432</v>
      </c>
      <c r="Y99" s="826"/>
      <c r="Z99" s="492" t="s">
        <v>80</v>
      </c>
      <c r="AA99" s="707">
        <f>(SUMIF($D$2:$D$57,"gnv",$H$2:$H$103))/1000</f>
        <v>0</v>
      </c>
      <c r="AB99" s="708">
        <f>(SUMIF($D$2:$D$57,"gnv",$S$2:$S$103))/1000</f>
        <v>0</v>
      </c>
      <c r="AC99" s="345"/>
      <c r="AD99" s="35"/>
      <c r="AE99" s="35"/>
      <c r="AF99" s="353"/>
      <c r="AG99" s="35"/>
      <c r="AH99" s="35"/>
      <c r="AI99" s="116"/>
      <c r="AJ99" s="116"/>
      <c r="AK99" s="116"/>
      <c r="AL99" s="116"/>
      <c r="AM99" s="116"/>
      <c r="AN99" s="116"/>
      <c r="AO99" s="116"/>
      <c r="AP99" s="116"/>
      <c r="AQ99" s="116"/>
    </row>
    <row r="100" spans="1:43" ht="17.2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0"/>
        <v>0</v>
      </c>
      <c r="L100" s="28">
        <f t="shared" si="25"/>
        <v>7432</v>
      </c>
      <c r="M100" s="810"/>
      <c r="N100" s="810"/>
      <c r="O100" s="30">
        <f t="shared" si="31"/>
        <v>0</v>
      </c>
      <c r="P100" s="171"/>
      <c r="Q100" s="31">
        <f t="shared" si="30"/>
        <v>0</v>
      </c>
      <c r="R100" s="31"/>
      <c r="S100" s="28">
        <f t="shared" si="21"/>
        <v>0</v>
      </c>
      <c r="T100" s="28">
        <f t="shared" si="22"/>
        <v>0</v>
      </c>
      <c r="U100" s="28">
        <f t="shared" si="23"/>
        <v>0</v>
      </c>
      <c r="V100" s="28">
        <f t="shared" si="24"/>
        <v>0</v>
      </c>
      <c r="W100" s="31">
        <f t="shared" si="26"/>
        <v>7432</v>
      </c>
      <c r="Y100" s="826"/>
      <c r="Z100" s="492" t="s">
        <v>285</v>
      </c>
      <c r="AA100" s="707">
        <f>(SUMIF($D$2:$D$57,"termico",$H$2:$H$103)+SUMIF($D$2:$D$57,"electrico",$H$2:$H$103)+SUMIF($D$2:$D$57,"térmico",$H$2:$H$103))/1000</f>
        <v>101.8</v>
      </c>
      <c r="AB100" s="708">
        <f>(SUMIF($D$2:$D$57,"termico",$S$2:$S$103)+SUMIF($D$2:$D$57,"electrico",$S$2:$S$103)+SUMIF($D$2:$D$57,"térmico",$S$2:$S$103))/1000</f>
        <v>101.8</v>
      </c>
      <c r="AC100" s="345"/>
      <c r="AD100" s="353"/>
      <c r="AE100" s="353"/>
      <c r="AF100" s="353"/>
      <c r="AG100" s="35"/>
      <c r="AH100" s="35"/>
      <c r="AI100" s="116"/>
      <c r="AJ100" s="656"/>
      <c r="AK100" s="657"/>
      <c r="AL100" s="116"/>
      <c r="AM100" s="116"/>
      <c r="AN100" s="116"/>
      <c r="AO100" s="116"/>
      <c r="AP100" s="116"/>
      <c r="AQ100" s="116"/>
    </row>
    <row r="101" spans="1:43" ht="17.25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0"/>
        <v>0</v>
      </c>
      <c r="L101" s="28">
        <f t="shared" si="25"/>
        <v>7432</v>
      </c>
      <c r="M101" s="810"/>
      <c r="N101" s="810"/>
      <c r="O101" s="30">
        <f t="shared" si="31"/>
        <v>0</v>
      </c>
      <c r="P101" s="171"/>
      <c r="Q101" s="31">
        <f t="shared" si="30"/>
        <v>0</v>
      </c>
      <c r="R101" s="31"/>
      <c r="S101" s="28">
        <f t="shared" si="21"/>
        <v>0</v>
      </c>
      <c r="T101" s="28">
        <f t="shared" si="22"/>
        <v>0</v>
      </c>
      <c r="U101" s="28">
        <f t="shared" si="23"/>
        <v>0</v>
      </c>
      <c r="V101" s="28">
        <f t="shared" si="24"/>
        <v>0</v>
      </c>
      <c r="W101" s="31">
        <f t="shared" si="26"/>
        <v>7432</v>
      </c>
      <c r="Y101" s="827"/>
      <c r="Z101" s="691" t="s">
        <v>287</v>
      </c>
      <c r="AA101" s="709"/>
      <c r="AB101" s="710"/>
      <c r="AC101" s="345"/>
      <c r="AD101" s="353"/>
      <c r="AE101" s="353"/>
      <c r="AF101" s="353"/>
      <c r="AG101" s="35"/>
      <c r="AH101" s="35"/>
      <c r="AI101" s="116"/>
      <c r="AJ101" s="248"/>
      <c r="AK101" s="510"/>
      <c r="AL101" s="116"/>
      <c r="AM101" s="656"/>
      <c r="AN101" s="657"/>
      <c r="AO101" s="116"/>
      <c r="AP101" s="116"/>
      <c r="AQ101" s="116"/>
    </row>
    <row r="102" spans="1:43" ht="17.25" customHeight="1" thickBot="1" x14ac:dyDescent="0.3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0"/>
        <v>0</v>
      </c>
      <c r="L102" s="28">
        <f t="shared" si="25"/>
        <v>7432</v>
      </c>
      <c r="M102" s="810"/>
      <c r="N102" s="810"/>
      <c r="O102" s="30">
        <f t="shared" si="31"/>
        <v>0</v>
      </c>
      <c r="P102" s="171"/>
      <c r="Q102" s="31">
        <f t="shared" si="30"/>
        <v>0</v>
      </c>
      <c r="R102" s="31"/>
      <c r="S102" s="28">
        <f t="shared" si="21"/>
        <v>0</v>
      </c>
      <c r="T102" s="28">
        <f t="shared" si="22"/>
        <v>0</v>
      </c>
      <c r="U102" s="28">
        <f t="shared" si="23"/>
        <v>0</v>
      </c>
      <c r="V102" s="28">
        <f t="shared" si="24"/>
        <v>0</v>
      </c>
      <c r="W102" s="31">
        <f t="shared" si="26"/>
        <v>7432</v>
      </c>
      <c r="Y102" s="622" t="s">
        <v>289</v>
      </c>
      <c r="Z102" s="623" t="s">
        <v>289</v>
      </c>
      <c r="AA102" s="711">
        <f>(SUMIF($D$2:$D$57,"EXPORTACION",$J$2:$J$103))/1000</f>
        <v>34.4</v>
      </c>
      <c r="AB102" s="712">
        <f>(SUMIF($D$2:$D$57,"EXPORTACION",$U$2:$U$103))/1000</f>
        <v>34.4</v>
      </c>
      <c r="AC102" s="345"/>
      <c r="AD102" s="353"/>
      <c r="AE102" s="353"/>
      <c r="AF102" s="353"/>
      <c r="AG102" s="35"/>
      <c r="AH102" s="35"/>
      <c r="AI102" s="116"/>
      <c r="AJ102" s="248"/>
      <c r="AK102" s="510"/>
      <c r="AL102" s="116"/>
      <c r="AM102" s="248"/>
      <c r="AN102" s="510"/>
      <c r="AO102" s="116"/>
      <c r="AP102" s="116"/>
      <c r="AQ102" s="116"/>
    </row>
    <row r="103" spans="1:43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0"/>
        <v>0</v>
      </c>
      <c r="L103" s="28">
        <f t="shared" si="25"/>
        <v>7432</v>
      </c>
      <c r="M103" s="810"/>
      <c r="N103" s="810"/>
      <c r="O103" s="30">
        <f t="shared" si="31"/>
        <v>0</v>
      </c>
      <c r="P103" s="179"/>
      <c r="Q103" s="31">
        <f t="shared" si="30"/>
        <v>0</v>
      </c>
      <c r="R103" s="31"/>
      <c r="S103" s="28">
        <f t="shared" si="21"/>
        <v>0</v>
      </c>
      <c r="T103" s="28">
        <f t="shared" si="22"/>
        <v>0</v>
      </c>
      <c r="U103" s="28">
        <f t="shared" si="23"/>
        <v>0</v>
      </c>
      <c r="V103" s="28">
        <f t="shared" si="24"/>
        <v>0</v>
      </c>
      <c r="W103" s="31">
        <f t="shared" si="26"/>
        <v>7432</v>
      </c>
      <c r="Y103" s="20"/>
      <c r="Z103" s="49"/>
      <c r="AA103" s="20"/>
      <c r="AB103" s="20"/>
      <c r="AC103" s="345"/>
      <c r="AD103" s="353"/>
      <c r="AE103" s="353"/>
      <c r="AF103" s="353"/>
      <c r="AG103" s="35"/>
      <c r="AH103" s="35"/>
      <c r="AJ103" s="248"/>
      <c r="AK103" s="510"/>
      <c r="AM103" s="248"/>
      <c r="AN103" s="510"/>
    </row>
    <row r="104" spans="1:43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13"/>
      <c r="Z104" s="13"/>
      <c r="AA104" s="13"/>
      <c r="AB104" s="13"/>
      <c r="AC104" s="345"/>
      <c r="AD104" s="353"/>
      <c r="AE104" s="353"/>
      <c r="AF104" s="353"/>
      <c r="AG104" s="35"/>
      <c r="AH104" s="35"/>
      <c r="AJ104" s="657"/>
      <c r="AK104" s="647"/>
      <c r="AM104" s="248"/>
      <c r="AN104" s="510"/>
    </row>
    <row r="105" spans="1:43" s="116" customFormat="1" ht="21" customHeight="1" thickBot="1" x14ac:dyDescent="0.35">
      <c r="C105" s="248"/>
      <c r="E105" s="249"/>
      <c r="F105" s="250"/>
      <c r="G105" s="251" t="s">
        <v>139</v>
      </c>
      <c r="H105" s="252">
        <f>+SUM(H2:H103)</f>
        <v>147898</v>
      </c>
      <c r="I105" s="252">
        <f>+SUM(I2:I103)</f>
        <v>19602</v>
      </c>
      <c r="J105" s="252">
        <f>+SUM(J2:J103)</f>
        <v>34400</v>
      </c>
      <c r="K105" s="252">
        <f>SUM(K2:K103)</f>
        <v>201900</v>
      </c>
      <c r="L105" s="253">
        <f>+L103</f>
        <v>7432</v>
      </c>
      <c r="M105" s="252">
        <f>SUM(M2:M103)</f>
        <v>0</v>
      </c>
      <c r="N105" s="252">
        <f>SUM(N2:N103)</f>
        <v>201900</v>
      </c>
      <c r="O105" s="252"/>
      <c r="P105" s="252">
        <f>SUM(P2:P103)</f>
        <v>0</v>
      </c>
      <c r="Q105" s="252">
        <f>SUM(Q2:Q103)</f>
        <v>0</v>
      </c>
      <c r="R105" s="252" t="e">
        <f>SUM(R2:R103)</f>
        <v>#DIV/0!</v>
      </c>
      <c r="S105" s="252">
        <f>SUM(S2:S103)</f>
        <v>147898</v>
      </c>
      <c r="T105" s="252">
        <f>+SUM(T2:T103)</f>
        <v>19602</v>
      </c>
      <c r="U105" s="252">
        <f>SUM(U2:U103)</f>
        <v>34400</v>
      </c>
      <c r="V105" s="252">
        <f>SUM(V2:V103)</f>
        <v>201900</v>
      </c>
      <c r="W105" s="254">
        <f>+W103</f>
        <v>7432</v>
      </c>
      <c r="Y105" s="20"/>
      <c r="Z105" s="49"/>
      <c r="AA105" s="20"/>
      <c r="AB105" s="20"/>
      <c r="AC105" s="345"/>
      <c r="AD105" s="353"/>
      <c r="AE105" s="353"/>
      <c r="AF105" s="353"/>
      <c r="AG105" s="35"/>
      <c r="AH105" s="35"/>
      <c r="AJ105" s="248"/>
      <c r="AK105" s="510"/>
      <c r="AM105" s="248"/>
      <c r="AN105" s="510"/>
    </row>
    <row r="106" spans="1:43" s="116" customFormat="1" ht="17.25" customHeight="1" x14ac:dyDescent="0.2">
      <c r="C106" s="248"/>
      <c r="F106" s="255"/>
      <c r="G106" s="256"/>
      <c r="H106" s="257">
        <v>131037</v>
      </c>
      <c r="I106" s="257"/>
      <c r="J106" s="258"/>
      <c r="K106" s="119"/>
      <c r="M106" s="259"/>
      <c r="N106" s="259"/>
      <c r="O106" s="259"/>
      <c r="P106" s="259"/>
      <c r="S106" s="119"/>
      <c r="W106" s="119"/>
      <c r="Y106" s="20"/>
      <c r="Z106" s="49"/>
      <c r="AA106" s="20"/>
      <c r="AB106" s="20"/>
      <c r="AC106" s="345"/>
      <c r="AD106" s="353"/>
      <c r="AE106" s="353"/>
      <c r="AF106" s="353"/>
      <c r="AG106" s="35"/>
      <c r="AH106" s="35"/>
      <c r="AJ106" s="248"/>
      <c r="AK106" s="510"/>
      <c r="AM106" s="248"/>
      <c r="AN106" s="510"/>
    </row>
    <row r="107" spans="1:43" s="13" customFormat="1" ht="16.5" customHeight="1" x14ac:dyDescent="0.2">
      <c r="A107" s="116"/>
      <c r="B107" s="116"/>
      <c r="C107" s="248"/>
      <c r="D107" s="255"/>
      <c r="E107" s="255"/>
      <c r="F107" s="255"/>
      <c r="G107" s="255"/>
      <c r="H107" s="667">
        <f>H106-H105</f>
        <v>-16861</v>
      </c>
      <c r="I107" s="255"/>
      <c r="J107" s="255"/>
      <c r="K107" s="255">
        <v>20500</v>
      </c>
      <c r="L107" s="255"/>
      <c r="M107" s="255"/>
      <c r="N107" s="255"/>
      <c r="O107" s="255"/>
      <c r="P107" s="255"/>
      <c r="Q107" s="255"/>
      <c r="R107" s="116"/>
      <c r="S107" s="119"/>
      <c r="T107" s="119"/>
      <c r="U107" s="116"/>
      <c r="V107" s="119"/>
      <c r="W107" s="119"/>
      <c r="Y107" s="20"/>
      <c r="Z107" s="49"/>
      <c r="AA107" s="20"/>
      <c r="AB107" s="20"/>
      <c r="AC107" s="345"/>
      <c r="AD107" s="35"/>
      <c r="AE107" s="35"/>
      <c r="AF107" s="35"/>
      <c r="AG107" s="35"/>
      <c r="AH107" s="147"/>
      <c r="AI107" s="116"/>
      <c r="AJ107" s="248"/>
      <c r="AK107" s="510"/>
      <c r="AL107" s="116"/>
      <c r="AM107" s="248"/>
      <c r="AN107" s="510"/>
      <c r="AO107" s="116"/>
      <c r="AP107" s="116"/>
      <c r="AQ107" s="116"/>
    </row>
    <row r="108" spans="1:43" ht="18.75" customHeight="1" x14ac:dyDescent="0.2">
      <c r="A108" s="116"/>
      <c r="B108" s="116"/>
      <c r="C108" s="248"/>
      <c r="D108" s="255"/>
      <c r="E108" s="255"/>
      <c r="F108" s="255"/>
      <c r="G108" s="255"/>
      <c r="H108" s="255"/>
      <c r="I108" s="255">
        <v>223810</v>
      </c>
      <c r="J108" s="255"/>
      <c r="K108" s="667">
        <f>K105-K107</f>
        <v>181400</v>
      </c>
      <c r="L108" s="255"/>
      <c r="M108" s="255"/>
      <c r="N108" s="255"/>
      <c r="O108" s="255"/>
      <c r="P108" s="255"/>
      <c r="Q108" s="255"/>
      <c r="R108" s="116"/>
      <c r="S108" s="119"/>
      <c r="T108" s="119"/>
      <c r="U108" s="116"/>
      <c r="V108" s="121"/>
      <c r="W108" s="119"/>
      <c r="AI108" s="116"/>
      <c r="AJ108" s="658"/>
      <c r="AK108" s="659"/>
      <c r="AL108" s="116"/>
      <c r="AM108" s="248"/>
      <c r="AN108" s="510"/>
      <c r="AO108" s="116"/>
      <c r="AP108" s="116"/>
      <c r="AQ108" s="116"/>
    </row>
    <row r="109" spans="1:43" s="13" customFormat="1" ht="18.75" customHeight="1" x14ac:dyDescent="0.2">
      <c r="A109" s="116"/>
      <c r="B109" s="116"/>
      <c r="C109" s="248"/>
      <c r="D109" s="255"/>
      <c r="E109" s="255"/>
      <c r="F109" s="255"/>
      <c r="G109" s="255"/>
      <c r="H109" s="667"/>
      <c r="I109" s="255">
        <v>17200</v>
      </c>
      <c r="J109" s="255"/>
      <c r="K109" s="255">
        <v>207332</v>
      </c>
      <c r="L109" s="255"/>
      <c r="M109" s="255"/>
      <c r="N109" s="255"/>
      <c r="O109" s="255"/>
      <c r="P109" s="255"/>
      <c r="Q109" s="255"/>
      <c r="R109" s="116"/>
      <c r="S109" s="119"/>
      <c r="T109" s="116"/>
      <c r="U109" s="116"/>
      <c r="V109" s="119"/>
      <c r="W109" s="119"/>
      <c r="Y109" s="20"/>
      <c r="Z109" s="49"/>
      <c r="AA109" s="20"/>
      <c r="AB109" s="20"/>
      <c r="AC109" s="20"/>
      <c r="AD109" s="20"/>
      <c r="AE109" s="20"/>
      <c r="AF109" s="20"/>
      <c r="AG109" s="20"/>
      <c r="AI109" s="116"/>
      <c r="AJ109" s="658"/>
      <c r="AK109" s="659"/>
      <c r="AL109" s="116"/>
      <c r="AM109" s="658"/>
      <c r="AN109" s="659"/>
      <c r="AO109" s="116"/>
      <c r="AP109" s="116"/>
      <c r="AQ109" s="116"/>
    </row>
    <row r="110" spans="1:43" ht="19.5" customHeight="1" x14ac:dyDescent="0.2">
      <c r="A110" s="116"/>
      <c r="B110" s="116"/>
      <c r="C110" s="248"/>
      <c r="D110" s="255"/>
      <c r="E110" s="255"/>
      <c r="F110" s="255"/>
      <c r="G110" s="255"/>
      <c r="H110" s="255"/>
      <c r="I110" s="255"/>
      <c r="J110" s="255"/>
      <c r="K110" s="667">
        <f>K108-K109</f>
        <v>-25932</v>
      </c>
      <c r="L110" s="255"/>
      <c r="M110" s="255"/>
      <c r="N110" s="255"/>
      <c r="O110" s="255"/>
      <c r="P110" s="255"/>
      <c r="Q110" s="255"/>
      <c r="R110" s="116"/>
      <c r="S110" s="119"/>
      <c r="T110" s="116"/>
      <c r="U110" s="116"/>
      <c r="V110" s="116"/>
      <c r="W110" s="119"/>
      <c r="AC110" s="485"/>
      <c r="AD110" s="19"/>
      <c r="AI110" s="116"/>
      <c r="AJ110" s="657"/>
      <c r="AK110" s="647"/>
      <c r="AL110" s="116"/>
      <c r="AM110" s="657"/>
      <c r="AN110" s="647"/>
      <c r="AO110" s="116"/>
      <c r="AP110" s="116"/>
      <c r="AQ110" s="116"/>
    </row>
    <row r="111" spans="1:43" ht="20.25" customHeight="1" x14ac:dyDescent="0.2">
      <c r="A111" s="116"/>
      <c r="B111" s="116"/>
      <c r="C111" s="248"/>
      <c r="D111" s="255"/>
      <c r="E111" s="255"/>
      <c r="F111" s="255"/>
      <c r="G111" s="255"/>
      <c r="H111" s="667"/>
      <c r="I111" s="255"/>
      <c r="J111" s="255"/>
      <c r="K111" s="255"/>
      <c r="L111" s="255"/>
      <c r="M111" s="255"/>
      <c r="N111" s="255"/>
      <c r="O111" s="255"/>
      <c r="P111" s="255"/>
      <c r="Q111" s="255"/>
      <c r="R111" s="116"/>
      <c r="S111" s="119"/>
      <c r="T111" s="116"/>
      <c r="U111" s="116"/>
      <c r="V111" s="116"/>
      <c r="W111" s="119"/>
      <c r="AI111" s="116"/>
      <c r="AJ111" s="116"/>
      <c r="AK111" s="116"/>
      <c r="AL111" s="116"/>
      <c r="AM111" s="116"/>
      <c r="AN111" s="116"/>
      <c r="AO111" s="116"/>
      <c r="AP111" s="116"/>
      <c r="AQ111" s="116"/>
    </row>
    <row r="112" spans="1:43" ht="12.75" customHeight="1" x14ac:dyDescent="0.2">
      <c r="A112" s="116"/>
      <c r="B112" s="266"/>
      <c r="C112" s="248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116"/>
      <c r="S112" s="119"/>
      <c r="T112" s="116"/>
      <c r="U112" s="116"/>
      <c r="V112" s="116"/>
      <c r="W112" s="119"/>
      <c r="AD112" s="19"/>
      <c r="AI112" s="116"/>
      <c r="AJ112" s="116"/>
      <c r="AK112" s="116"/>
      <c r="AL112" s="116"/>
      <c r="AM112" s="116"/>
      <c r="AN112" s="116"/>
      <c r="AO112" s="116"/>
      <c r="AP112" s="116"/>
      <c r="AQ112" s="116"/>
    </row>
    <row r="113" spans="1:43" ht="19.5" customHeight="1" x14ac:dyDescent="0.2">
      <c r="A113" s="621"/>
      <c r="B113" s="621"/>
      <c r="C113" s="248"/>
      <c r="D113" s="255"/>
      <c r="E113" s="255"/>
      <c r="F113" s="255"/>
      <c r="G113" s="255"/>
      <c r="H113" s="255"/>
      <c r="I113" s="255">
        <f>SUM(I108:I112)</f>
        <v>241010</v>
      </c>
      <c r="J113" s="255"/>
      <c r="K113" s="255"/>
      <c r="L113" s="255"/>
      <c r="M113" s="255"/>
      <c r="N113" s="255"/>
      <c r="O113" s="255"/>
      <c r="P113" s="255"/>
      <c r="Q113" s="255"/>
      <c r="R113" s="116"/>
      <c r="S113" s="119"/>
      <c r="T113" s="116"/>
      <c r="U113" s="116"/>
      <c r="V113" s="116"/>
      <c r="W113" s="119"/>
      <c r="AI113" s="116"/>
      <c r="AJ113" s="656"/>
      <c r="AK113" s="657"/>
      <c r="AL113" s="116"/>
      <c r="AM113" s="116"/>
      <c r="AN113" s="116"/>
      <c r="AO113" s="116"/>
      <c r="AP113" s="116"/>
      <c r="AQ113" s="116"/>
    </row>
    <row r="114" spans="1:43" ht="29.25" customHeight="1" x14ac:dyDescent="0.2">
      <c r="A114" s="621"/>
      <c r="B114" s="621"/>
      <c r="C114" s="248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116"/>
      <c r="S114" s="119"/>
      <c r="T114" s="116"/>
      <c r="U114" s="116"/>
      <c r="V114" s="116"/>
      <c r="W114" s="119"/>
      <c r="AI114" s="116"/>
      <c r="AJ114" s="248"/>
      <c r="AK114" s="510"/>
      <c r="AL114" s="116"/>
      <c r="AM114" s="656"/>
      <c r="AN114" s="657"/>
      <c r="AO114" s="116"/>
      <c r="AP114" s="116"/>
      <c r="AQ114" s="116"/>
    </row>
    <row r="115" spans="1:43" ht="18" customHeight="1" x14ac:dyDescent="0.2">
      <c r="A115" s="116"/>
      <c r="B115" s="273"/>
      <c r="C115" s="248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116"/>
      <c r="S115" s="119"/>
      <c r="T115" s="116"/>
      <c r="U115" s="116"/>
      <c r="V115" s="116"/>
      <c r="W115" s="119"/>
      <c r="AI115" s="116"/>
      <c r="AJ115" s="657"/>
      <c r="AK115" s="647"/>
      <c r="AL115" s="116"/>
      <c r="AM115" s="248"/>
      <c r="AN115" s="510"/>
      <c r="AO115" s="116"/>
      <c r="AP115" s="116"/>
      <c r="AQ115" s="116"/>
    </row>
    <row r="116" spans="1:43" ht="16.5" customHeight="1" x14ac:dyDescent="0.2">
      <c r="A116" s="116"/>
      <c r="B116" s="116"/>
      <c r="C116" s="248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116"/>
      <c r="S116" s="119"/>
      <c r="T116" s="116"/>
      <c r="U116" s="116"/>
      <c r="V116" s="116"/>
      <c r="W116" s="119"/>
      <c r="AI116" s="116"/>
      <c r="AJ116" s="248"/>
      <c r="AK116" s="510"/>
      <c r="AL116" s="116"/>
      <c r="AM116" s="287"/>
      <c r="AN116" s="645"/>
      <c r="AO116" s="116"/>
      <c r="AP116" s="116"/>
      <c r="AQ116" s="116"/>
    </row>
    <row r="117" spans="1:43" ht="15.75" customHeight="1" x14ac:dyDescent="0.2">
      <c r="A117" s="116"/>
      <c r="B117" s="116"/>
      <c r="C117" s="248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614"/>
      <c r="S117" s="614"/>
      <c r="T117" s="614"/>
      <c r="U117" s="614"/>
      <c r="V117" s="196"/>
      <c r="W117" s="116"/>
      <c r="X117" s="20"/>
      <c r="AI117" s="116"/>
      <c r="AJ117" s="657"/>
      <c r="AK117" s="647"/>
      <c r="AL117" s="116"/>
      <c r="AM117" s="248"/>
      <c r="AN117" s="510"/>
      <c r="AO117" s="116"/>
      <c r="AP117" s="116"/>
      <c r="AQ117" s="116"/>
    </row>
    <row r="118" spans="1:43" ht="17.25" customHeight="1" x14ac:dyDescent="0.2">
      <c r="A118" s="116"/>
      <c r="B118" s="116"/>
      <c r="C118" s="248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116"/>
      <c r="S118" s="116"/>
      <c r="T118" s="116"/>
      <c r="U118" s="116"/>
      <c r="V118" s="556"/>
      <c r="W118" s="53"/>
      <c r="X118" s="20"/>
      <c r="AI118" s="116"/>
      <c r="AJ118" s="116"/>
      <c r="AK118" s="116"/>
      <c r="AL118" s="116"/>
      <c r="AM118" s="287"/>
      <c r="AN118" s="645"/>
      <c r="AO118" s="116"/>
      <c r="AP118" s="116"/>
      <c r="AQ118" s="116"/>
    </row>
    <row r="119" spans="1:43" ht="18" customHeight="1" x14ac:dyDescent="0.2">
      <c r="A119" s="116"/>
      <c r="B119" s="116"/>
      <c r="C119" s="248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196"/>
      <c r="S119" s="196"/>
      <c r="T119" s="196"/>
      <c r="U119" s="196"/>
      <c r="V119" s="196"/>
      <c r="X119" s="20"/>
      <c r="AI119" s="116"/>
      <c r="AJ119" s="656"/>
      <c r="AK119" s="657"/>
      <c r="AL119" s="116"/>
      <c r="AM119" s="116"/>
      <c r="AN119" s="116"/>
      <c r="AO119" s="116"/>
      <c r="AP119" s="116"/>
      <c r="AQ119" s="116"/>
    </row>
    <row r="120" spans="1:43" ht="30" customHeight="1" x14ac:dyDescent="0.2">
      <c r="A120" s="116"/>
      <c r="B120" s="116"/>
      <c r="C120" s="248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196"/>
      <c r="S120" s="196"/>
      <c r="T120" s="196"/>
      <c r="U120" s="196"/>
      <c r="V120" s="196"/>
      <c r="AI120" s="116"/>
      <c r="AJ120" s="248"/>
      <c r="AK120" s="510"/>
      <c r="AL120" s="116"/>
      <c r="AM120" s="116"/>
      <c r="AN120" s="116"/>
      <c r="AO120" s="116"/>
      <c r="AP120" s="116"/>
      <c r="AQ120" s="116"/>
    </row>
    <row r="121" spans="1:43" ht="12.75" customHeight="1" x14ac:dyDescent="0.2">
      <c r="A121" s="116"/>
      <c r="B121" s="116"/>
      <c r="C121" s="248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196"/>
      <c r="S121" s="196"/>
      <c r="T121" s="196"/>
      <c r="U121" s="196">
        <v>11997</v>
      </c>
      <c r="V121" s="196"/>
      <c r="AI121" s="116"/>
      <c r="AJ121" s="287"/>
      <c r="AK121" s="645"/>
      <c r="AL121" s="116"/>
      <c r="AM121" s="116"/>
      <c r="AN121" s="116"/>
      <c r="AO121" s="116"/>
      <c r="AP121" s="116"/>
      <c r="AQ121" s="116"/>
    </row>
    <row r="122" spans="1:43" ht="12.75" customHeight="1" x14ac:dyDescent="0.2">
      <c r="A122" s="116"/>
      <c r="B122" s="116"/>
      <c r="C122" s="248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196"/>
      <c r="S122" s="196"/>
      <c r="T122" s="196"/>
      <c r="U122" s="196">
        <v>1117</v>
      </c>
      <c r="V122" s="196"/>
      <c r="AI122" s="116"/>
      <c r="AJ122" s="248"/>
      <c r="AK122" s="510"/>
      <c r="AL122" s="116"/>
      <c r="AM122" s="116"/>
      <c r="AN122" s="116"/>
      <c r="AO122" s="116"/>
      <c r="AP122" s="116"/>
      <c r="AQ122" s="116"/>
    </row>
    <row r="123" spans="1:43" ht="12.75" customHeight="1" x14ac:dyDescent="0.2">
      <c r="A123" s="116"/>
      <c r="B123" s="116"/>
      <c r="C123" s="24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196"/>
      <c r="S123" s="196"/>
      <c r="T123" s="196"/>
      <c r="U123" s="196">
        <f>SUM(U121:U122)</f>
        <v>13114</v>
      </c>
      <c r="V123" s="196"/>
      <c r="AI123" s="116"/>
      <c r="AJ123" s="287"/>
      <c r="AK123" s="645"/>
      <c r="AL123" s="116"/>
      <c r="AM123" s="116"/>
      <c r="AN123" s="116"/>
      <c r="AO123" s="116"/>
      <c r="AP123" s="116"/>
      <c r="AQ123" s="116"/>
    </row>
    <row r="124" spans="1:43" ht="12.75" customHeight="1" x14ac:dyDescent="0.2">
      <c r="A124" s="116"/>
      <c r="B124" s="116"/>
      <c r="C124" s="248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196"/>
      <c r="S124" s="196"/>
      <c r="T124" s="196"/>
      <c r="U124" s="196"/>
      <c r="V124" s="196"/>
      <c r="AI124" s="116"/>
      <c r="AJ124" s="116"/>
      <c r="AK124" s="116"/>
      <c r="AL124" s="116"/>
      <c r="AM124" s="116"/>
      <c r="AN124" s="116"/>
      <c r="AO124" s="116"/>
      <c r="AP124" s="116"/>
      <c r="AQ124" s="116"/>
    </row>
    <row r="125" spans="1:43" ht="12.75" customHeight="1" x14ac:dyDescent="0.2">
      <c r="A125" s="116"/>
      <c r="B125" s="116"/>
      <c r="C125" s="248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196"/>
      <c r="S125" s="196"/>
      <c r="T125" s="196"/>
      <c r="U125" s="196"/>
      <c r="V125" s="196"/>
      <c r="AI125" s="116"/>
      <c r="AJ125" s="116"/>
      <c r="AK125" s="116"/>
      <c r="AL125" s="116"/>
      <c r="AM125" s="116"/>
      <c r="AN125" s="116"/>
      <c r="AO125" s="116"/>
      <c r="AP125" s="116"/>
      <c r="AQ125" s="116"/>
    </row>
    <row r="126" spans="1:43" ht="12.75" customHeight="1" x14ac:dyDescent="0.2">
      <c r="A126" s="116"/>
      <c r="B126" s="116"/>
      <c r="C126" s="248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196"/>
      <c r="S126" s="196"/>
      <c r="T126" s="196"/>
      <c r="U126" s="196"/>
      <c r="V126" s="196"/>
      <c r="X126" s="20"/>
      <c r="AI126" s="116"/>
      <c r="AJ126" s="116"/>
      <c r="AK126" s="116"/>
      <c r="AL126" s="116"/>
      <c r="AM126" s="116"/>
      <c r="AN126" s="116"/>
      <c r="AO126" s="116"/>
      <c r="AP126" s="116"/>
      <c r="AQ126" s="116"/>
    </row>
    <row r="127" spans="1:43" ht="12.75" customHeight="1" x14ac:dyDescent="0.2">
      <c r="A127" s="116"/>
      <c r="B127" s="116"/>
      <c r="C127" s="248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196"/>
      <c r="S127" s="196"/>
      <c r="T127" s="196"/>
      <c r="U127" s="196"/>
      <c r="V127" s="196"/>
      <c r="X127" s="20"/>
      <c r="AI127" s="116"/>
      <c r="AJ127" s="116"/>
      <c r="AK127" s="116"/>
      <c r="AL127" s="116"/>
      <c r="AM127" s="116"/>
      <c r="AN127" s="116"/>
      <c r="AO127" s="116"/>
      <c r="AP127" s="116"/>
      <c r="AQ127" s="116"/>
    </row>
    <row r="128" spans="1:43" ht="12.75" customHeight="1" x14ac:dyDescent="0.2">
      <c r="A128" s="116"/>
      <c r="B128" s="116"/>
      <c r="C128" s="248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196"/>
      <c r="S128" s="196"/>
      <c r="T128" s="196"/>
      <c r="U128" s="196"/>
      <c r="V128" s="196"/>
      <c r="AI128" s="116"/>
      <c r="AJ128" s="116"/>
      <c r="AK128" s="116"/>
      <c r="AL128" s="116"/>
      <c r="AM128" s="116"/>
      <c r="AN128" s="116"/>
      <c r="AO128" s="116"/>
      <c r="AP128" s="116"/>
      <c r="AQ128" s="116"/>
    </row>
    <row r="129" spans="1:43" ht="12.75" customHeight="1" x14ac:dyDescent="0.2">
      <c r="A129" s="116"/>
      <c r="B129" s="116"/>
      <c r="C129" s="248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196"/>
      <c r="S129" s="196"/>
      <c r="T129" s="196"/>
      <c r="U129" s="196"/>
      <c r="V129" s="196"/>
      <c r="AI129" s="116"/>
      <c r="AJ129" s="116"/>
      <c r="AK129" s="116"/>
      <c r="AL129" s="116"/>
      <c r="AM129" s="116"/>
      <c r="AN129" s="116"/>
      <c r="AO129" s="116"/>
      <c r="AP129" s="116"/>
      <c r="AQ129" s="116"/>
    </row>
    <row r="130" spans="1:43" ht="12.75" customHeight="1" x14ac:dyDescent="0.2">
      <c r="A130" s="116"/>
      <c r="B130" s="116"/>
      <c r="C130" s="248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196"/>
      <c r="S130" s="196"/>
      <c r="T130" s="196"/>
      <c r="U130" s="196"/>
      <c r="V130" s="196"/>
      <c r="AI130" s="116"/>
      <c r="AJ130" s="116"/>
      <c r="AK130" s="116"/>
      <c r="AL130" s="116"/>
      <c r="AM130" s="116"/>
      <c r="AN130" s="116"/>
      <c r="AO130" s="116"/>
      <c r="AP130" s="116"/>
      <c r="AQ130" s="116"/>
    </row>
    <row r="131" spans="1:43" ht="12.75" customHeight="1" x14ac:dyDescent="0.2">
      <c r="A131" s="116"/>
      <c r="B131" s="116"/>
      <c r="C131" s="248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196"/>
      <c r="S131" s="196"/>
      <c r="T131" s="196"/>
      <c r="U131" s="196"/>
      <c r="V131" s="196"/>
      <c r="AI131" s="116"/>
      <c r="AJ131" s="116"/>
      <c r="AK131" s="116"/>
      <c r="AL131" s="116"/>
      <c r="AM131" s="116"/>
      <c r="AN131" s="116"/>
      <c r="AO131" s="116"/>
      <c r="AP131" s="116"/>
      <c r="AQ131" s="116"/>
    </row>
    <row r="132" spans="1:43" ht="12.75" customHeight="1" x14ac:dyDescent="0.2">
      <c r="A132" s="116"/>
      <c r="B132" s="116"/>
      <c r="C132" s="248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196"/>
      <c r="S132" s="196"/>
      <c r="T132" s="196"/>
      <c r="U132" s="196"/>
      <c r="V132" s="196"/>
      <c r="Z132" s="20"/>
      <c r="AI132" s="116"/>
      <c r="AJ132" s="116"/>
      <c r="AK132" s="116"/>
      <c r="AL132" s="116"/>
      <c r="AM132" s="116"/>
      <c r="AN132" s="116"/>
      <c r="AO132" s="116"/>
      <c r="AP132" s="116"/>
      <c r="AQ132" s="116"/>
    </row>
    <row r="133" spans="1:43" ht="12.75" customHeight="1" x14ac:dyDescent="0.2">
      <c r="A133" s="116"/>
      <c r="B133" s="116"/>
      <c r="C133" s="248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196"/>
      <c r="S133" s="196"/>
      <c r="T133" s="196"/>
      <c r="U133" s="196"/>
      <c r="V133" s="196"/>
      <c r="Z133" s="20"/>
      <c r="AI133" s="116"/>
      <c r="AJ133" s="116"/>
      <c r="AK133" s="116"/>
      <c r="AL133" s="116"/>
      <c r="AM133" s="116"/>
      <c r="AN133" s="116"/>
      <c r="AO133" s="116"/>
      <c r="AP133" s="116"/>
      <c r="AQ133" s="116"/>
    </row>
    <row r="134" spans="1:43" ht="12.75" customHeight="1" x14ac:dyDescent="0.2">
      <c r="A134" s="286"/>
      <c r="B134" s="286"/>
      <c r="C134" s="287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196"/>
      <c r="S134" s="196"/>
      <c r="T134" s="196"/>
      <c r="U134" s="196"/>
      <c r="V134" s="196"/>
      <c r="Z134" s="20"/>
    </row>
    <row r="135" spans="1:43" ht="12.75" customHeight="1" x14ac:dyDescent="0.2">
      <c r="A135" s="116"/>
      <c r="B135" s="116"/>
      <c r="C135" s="248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196"/>
      <c r="S135" s="196"/>
      <c r="T135" s="196"/>
      <c r="U135" s="196"/>
      <c r="V135" s="196"/>
      <c r="Z135" s="20"/>
    </row>
    <row r="136" spans="1:43" ht="12.75" customHeight="1" x14ac:dyDescent="0.2">
      <c r="A136" s="116"/>
      <c r="B136" s="116"/>
      <c r="C136" s="248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96"/>
      <c r="S136" s="196"/>
      <c r="T136" s="196"/>
      <c r="U136" s="196"/>
      <c r="V136" s="196"/>
      <c r="Z136" s="20"/>
    </row>
    <row r="137" spans="1:43" ht="12.75" customHeight="1" x14ac:dyDescent="0.2">
      <c r="A137" s="116"/>
      <c r="B137" s="116"/>
      <c r="C137" s="248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96"/>
      <c r="S137" s="196"/>
      <c r="T137" s="196"/>
      <c r="U137" s="196"/>
      <c r="V137" s="196"/>
      <c r="X137" s="20"/>
      <c r="Z137" s="20"/>
    </row>
    <row r="138" spans="1:43" ht="12.75" customHeight="1" x14ac:dyDescent="0.2">
      <c r="A138" s="116"/>
      <c r="B138" s="116"/>
      <c r="C138" s="248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196"/>
      <c r="S138" s="196"/>
      <c r="T138" s="196"/>
      <c r="U138" s="196"/>
      <c r="V138" s="196"/>
      <c r="X138" s="20"/>
      <c r="Z138" s="20"/>
    </row>
    <row r="139" spans="1:43" ht="12.75" customHeight="1" x14ac:dyDescent="0.2">
      <c r="A139" s="196"/>
      <c r="B139" s="196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196"/>
      <c r="S139" s="196"/>
      <c r="T139" s="196"/>
      <c r="U139" s="196"/>
      <c r="V139" s="196"/>
      <c r="X139" s="20"/>
      <c r="Z139" s="20"/>
    </row>
    <row r="140" spans="1:43" ht="12.75" customHeight="1" x14ac:dyDescent="0.2">
      <c r="A140" s="196"/>
      <c r="B140" s="196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196"/>
      <c r="S140" s="196"/>
      <c r="T140" s="196"/>
      <c r="U140" s="196"/>
      <c r="V140" s="196"/>
      <c r="X140" s="20"/>
      <c r="Z140" s="20"/>
    </row>
    <row r="141" spans="1:43" ht="12.75" customHeight="1" x14ac:dyDescent="0.2">
      <c r="A141" s="196"/>
      <c r="B141" s="196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196"/>
      <c r="S141" s="196"/>
      <c r="T141" s="196"/>
      <c r="U141" s="196"/>
      <c r="V141" s="196"/>
      <c r="X141" s="20"/>
      <c r="Z141" s="20"/>
    </row>
    <row r="142" spans="1:43" ht="12.75" customHeight="1" x14ac:dyDescent="0.2">
      <c r="A142" s="196"/>
      <c r="B142" s="196"/>
      <c r="C142" s="20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196"/>
      <c r="S142" s="196"/>
      <c r="T142" s="196"/>
      <c r="U142" s="196"/>
      <c r="V142" s="196"/>
      <c r="X142" s="20"/>
      <c r="Z142" s="20"/>
    </row>
    <row r="143" spans="1:43" ht="12.75" customHeight="1" x14ac:dyDescent="0.2">
      <c r="A143" s="196"/>
      <c r="B143" s="196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196"/>
      <c r="S143" s="196"/>
      <c r="T143" s="196"/>
      <c r="U143" s="196"/>
      <c r="V143" s="196"/>
      <c r="X143" s="20"/>
      <c r="Z143" s="20"/>
    </row>
    <row r="144" spans="1:43" ht="12.75" customHeight="1" x14ac:dyDescent="0.2">
      <c r="A144" s="196"/>
      <c r="B144" s="196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196"/>
      <c r="S144" s="196"/>
      <c r="T144" s="196"/>
      <c r="U144" s="196"/>
      <c r="V144" s="196"/>
      <c r="X144" s="20"/>
      <c r="Z144" s="20"/>
    </row>
    <row r="145" spans="1:26" ht="12.75" customHeight="1" x14ac:dyDescent="0.2">
      <c r="A145" s="196"/>
      <c r="B145" s="196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196"/>
      <c r="S145" s="196"/>
      <c r="T145" s="196"/>
      <c r="U145" s="196"/>
      <c r="V145" s="196"/>
      <c r="X145" s="20"/>
      <c r="Z145" s="20"/>
    </row>
    <row r="146" spans="1:26" ht="12.75" customHeight="1" x14ac:dyDescent="0.2">
      <c r="A146" s="196"/>
      <c r="B146" s="196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196"/>
      <c r="S146" s="196"/>
      <c r="T146" s="196"/>
      <c r="U146" s="196"/>
      <c r="V146" s="196"/>
      <c r="X146" s="20"/>
      <c r="Z146" s="20"/>
    </row>
    <row r="147" spans="1:26" ht="12.75" customHeight="1" x14ac:dyDescent="0.2">
      <c r="A147" s="196"/>
      <c r="B147" s="196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196"/>
      <c r="S147" s="196"/>
      <c r="T147" s="196"/>
      <c r="U147" s="196"/>
      <c r="V147" s="196"/>
      <c r="X147" s="20"/>
      <c r="Z147" s="20"/>
    </row>
    <row r="148" spans="1:26" ht="12.75" customHeight="1" x14ac:dyDescent="0.2">
      <c r="A148" s="196"/>
      <c r="B148" s="196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196"/>
      <c r="S148" s="196"/>
      <c r="T148" s="196"/>
      <c r="U148" s="196"/>
      <c r="V148" s="196"/>
      <c r="X148" s="20"/>
    </row>
    <row r="149" spans="1:26" ht="12.75" customHeight="1" x14ac:dyDescent="0.2">
      <c r="A149" s="196"/>
      <c r="B149" s="196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196"/>
      <c r="S149" s="196"/>
      <c r="T149" s="196"/>
      <c r="U149" s="196"/>
      <c r="V149" s="196"/>
      <c r="X149" s="20"/>
      <c r="Z149" s="20"/>
    </row>
    <row r="150" spans="1:26" ht="12.75" customHeight="1" x14ac:dyDescent="0.2">
      <c r="A150" s="196"/>
      <c r="B150" s="196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196"/>
      <c r="S150" s="196"/>
      <c r="T150" s="196"/>
      <c r="U150" s="196"/>
      <c r="V150" s="196"/>
      <c r="X150" s="20"/>
      <c r="Z150" s="20"/>
    </row>
    <row r="151" spans="1:26" ht="12.75" customHeight="1" x14ac:dyDescent="0.2">
      <c r="A151" s="196"/>
      <c r="B151" s="196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196"/>
      <c r="S151" s="196"/>
      <c r="T151" s="196"/>
      <c r="U151" s="196"/>
      <c r="V151" s="196"/>
      <c r="X151" s="20"/>
      <c r="Z151" s="20"/>
    </row>
    <row r="152" spans="1:26" ht="12.75" customHeight="1" x14ac:dyDescent="0.2">
      <c r="A152" s="196"/>
      <c r="B152" s="196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196"/>
      <c r="S152" s="196"/>
      <c r="T152" s="196"/>
      <c r="U152" s="196"/>
      <c r="V152" s="196"/>
      <c r="X152" s="20"/>
      <c r="Z152" s="20"/>
    </row>
    <row r="153" spans="1:26" x14ac:dyDescent="0.2">
      <c r="A153" s="196"/>
      <c r="B153" s="196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196"/>
      <c r="S153" s="196"/>
      <c r="T153" s="196"/>
      <c r="U153" s="196"/>
      <c r="V153" s="196"/>
      <c r="Z153" s="20"/>
    </row>
    <row r="154" spans="1:26" x14ac:dyDescent="0.2">
      <c r="A154" s="196"/>
      <c r="B154" s="196"/>
      <c r="C154" s="20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196"/>
      <c r="S154" s="196"/>
      <c r="T154" s="196"/>
      <c r="U154" s="196"/>
      <c r="V154" s="196"/>
      <c r="X154" s="20"/>
      <c r="Z154" s="20"/>
    </row>
    <row r="155" spans="1:26" x14ac:dyDescent="0.2">
      <c r="A155" s="196"/>
      <c r="B155" s="196"/>
      <c r="C155" s="20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196"/>
      <c r="S155" s="196"/>
      <c r="T155" s="196"/>
      <c r="U155" s="196"/>
      <c r="V155" s="196"/>
      <c r="X155" s="20"/>
      <c r="Z155" s="20"/>
    </row>
    <row r="156" spans="1:26" x14ac:dyDescent="0.2">
      <c r="A156" s="196"/>
      <c r="B156" s="196"/>
      <c r="C156" s="20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196"/>
      <c r="S156" s="556"/>
      <c r="T156" s="556"/>
      <c r="U156" s="196"/>
      <c r="V156" s="196"/>
      <c r="X156" s="20"/>
      <c r="Z156" s="20"/>
    </row>
    <row r="157" spans="1:26" x14ac:dyDescent="0.2">
      <c r="A157" s="196"/>
      <c r="B157" s="196"/>
      <c r="C157" s="20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196"/>
      <c r="S157" s="196"/>
      <c r="T157" s="196"/>
      <c r="U157" s="196"/>
      <c r="V157" s="196"/>
      <c r="X157" s="20"/>
      <c r="Z157" s="20"/>
    </row>
    <row r="158" spans="1:26" x14ac:dyDescent="0.2">
      <c r="A158" s="196"/>
      <c r="B158" s="196"/>
      <c r="C158" s="20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618"/>
      <c r="S158" s="618"/>
      <c r="T158" s="619"/>
      <c r="U158" s="196"/>
      <c r="V158" s="196"/>
      <c r="X158" s="20"/>
      <c r="Z158" s="20"/>
    </row>
    <row r="159" spans="1:26" x14ac:dyDescent="0.2">
      <c r="A159" s="196"/>
      <c r="B159" s="196"/>
      <c r="C159" s="20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618"/>
      <c r="S159" s="618"/>
      <c r="T159" s="619"/>
      <c r="U159" s="196"/>
      <c r="V159" s="196"/>
      <c r="X159" s="20"/>
      <c r="Z159" s="20"/>
    </row>
    <row r="160" spans="1:26" x14ac:dyDescent="0.2">
      <c r="A160" s="196"/>
      <c r="B160" s="196"/>
      <c r="C160" s="20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618"/>
      <c r="S160" s="618"/>
      <c r="T160" s="619"/>
      <c r="U160" s="196"/>
      <c r="V160" s="196"/>
      <c r="X160" s="20"/>
      <c r="Z160" s="20"/>
    </row>
    <row r="161" spans="1:26" x14ac:dyDescent="0.2">
      <c r="A161" s="196"/>
      <c r="B161" s="196"/>
      <c r="C161" s="20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196"/>
      <c r="S161" s="196"/>
      <c r="T161" s="196"/>
      <c r="U161" s="196"/>
      <c r="V161" s="196"/>
      <c r="X161" s="20"/>
      <c r="Z161" s="20"/>
    </row>
    <row r="162" spans="1:26" x14ac:dyDescent="0.2">
      <c r="A162" s="196"/>
      <c r="B162" s="196"/>
      <c r="C162" s="20"/>
      <c r="D162" s="196"/>
      <c r="E162" s="196"/>
      <c r="F162" s="196"/>
      <c r="G162" s="196"/>
      <c r="H162" s="615"/>
      <c r="I162" s="615"/>
      <c r="J162" s="196"/>
      <c r="K162" s="196"/>
      <c r="L162" s="196"/>
      <c r="M162" s="196"/>
      <c r="N162" s="196"/>
      <c r="P162" s="196"/>
      <c r="Q162" s="196"/>
      <c r="R162" s="196"/>
      <c r="S162" s="196"/>
      <c r="T162" s="196"/>
      <c r="U162" s="196"/>
      <c r="V162" s="196"/>
      <c r="X162" s="20"/>
      <c r="Z162" s="20"/>
    </row>
    <row r="163" spans="1:26" x14ac:dyDescent="0.2">
      <c r="A163" s="196"/>
      <c r="B163" s="196"/>
      <c r="C163" s="20"/>
      <c r="D163" s="196"/>
      <c r="E163" s="196"/>
      <c r="F163" s="196"/>
      <c r="G163" s="196"/>
      <c r="H163" s="615"/>
      <c r="I163" s="615"/>
      <c r="J163" s="196"/>
      <c r="K163" s="196"/>
      <c r="L163" s="196"/>
      <c r="M163" s="196"/>
      <c r="N163" s="196"/>
      <c r="P163" s="196"/>
      <c r="Q163" s="196"/>
      <c r="R163" s="196"/>
      <c r="S163" s="196"/>
      <c r="T163" s="196"/>
      <c r="U163" s="196"/>
      <c r="V163" s="196"/>
      <c r="X163" s="20"/>
      <c r="Z163" s="20"/>
    </row>
    <row r="164" spans="1:26" x14ac:dyDescent="0.2">
      <c r="A164" s="196"/>
      <c r="B164" s="196"/>
      <c r="C164" s="20"/>
      <c r="D164" s="196"/>
      <c r="E164" s="196"/>
      <c r="F164" s="196"/>
      <c r="G164" s="196"/>
      <c r="H164" s="615"/>
      <c r="I164" s="615"/>
      <c r="J164" s="196"/>
      <c r="K164" s="196"/>
      <c r="L164" s="196"/>
      <c r="M164" s="196"/>
      <c r="N164" s="196"/>
      <c r="P164" s="196"/>
      <c r="Q164" s="196"/>
      <c r="R164" s="196"/>
      <c r="S164" s="196"/>
      <c r="T164" s="196"/>
      <c r="U164" s="196"/>
      <c r="V164" s="196"/>
      <c r="X164" s="20"/>
      <c r="Z164" s="20"/>
    </row>
    <row r="165" spans="1:26" x14ac:dyDescent="0.2">
      <c r="A165" s="196"/>
      <c r="B165" s="196"/>
      <c r="C165" s="20"/>
      <c r="D165" s="196"/>
      <c r="E165" s="196"/>
      <c r="F165" s="196"/>
      <c r="G165" s="196"/>
      <c r="H165" s="615"/>
      <c r="I165" s="615"/>
      <c r="J165" s="196"/>
      <c r="K165" s="196"/>
      <c r="L165" s="196"/>
      <c r="M165" s="196"/>
      <c r="N165" s="196"/>
      <c r="P165" s="196"/>
      <c r="Q165" s="196"/>
      <c r="R165" s="196"/>
      <c r="S165" s="196"/>
      <c r="T165" s="196"/>
      <c r="U165" s="196"/>
      <c r="V165" s="196"/>
      <c r="X165" s="20"/>
      <c r="Z165" s="20"/>
    </row>
    <row r="166" spans="1:26" x14ac:dyDescent="0.2">
      <c r="A166" s="196"/>
      <c r="B166" s="196"/>
      <c r="C166" s="20"/>
      <c r="D166" s="196"/>
      <c r="E166" s="196"/>
      <c r="F166" s="196"/>
      <c r="G166" s="196"/>
      <c r="H166" s="615"/>
      <c r="I166" s="615"/>
      <c r="J166" s="196"/>
      <c r="K166" s="196"/>
      <c r="L166" s="196"/>
      <c r="M166" s="196"/>
      <c r="N166" s="196"/>
      <c r="P166" s="196"/>
      <c r="Q166" s="196"/>
      <c r="R166" s="196"/>
      <c r="S166" s="196"/>
      <c r="T166" s="196"/>
      <c r="U166" s="196"/>
      <c r="V166" s="196"/>
      <c r="X166" s="20"/>
      <c r="Z166" s="20"/>
    </row>
    <row r="167" spans="1:26" x14ac:dyDescent="0.2">
      <c r="A167" s="196"/>
      <c r="B167" s="196"/>
      <c r="C167" s="20"/>
      <c r="D167" s="196"/>
      <c r="E167" s="196"/>
      <c r="F167" s="196"/>
      <c r="G167" s="196"/>
      <c r="H167" s="615"/>
      <c r="I167" s="615"/>
      <c r="J167" s="618"/>
      <c r="K167" s="619"/>
      <c r="L167" s="196"/>
      <c r="M167" s="196"/>
      <c r="N167" s="196"/>
      <c r="P167" s="196"/>
      <c r="Q167" s="620"/>
      <c r="R167" s="619"/>
      <c r="S167" s="196"/>
      <c r="T167" s="196"/>
      <c r="U167" s="196"/>
      <c r="V167" s="196"/>
      <c r="X167" s="20"/>
      <c r="Z167" s="20"/>
    </row>
    <row r="168" spans="1:26" x14ac:dyDescent="0.2">
      <c r="A168" s="196"/>
      <c r="B168" s="196"/>
      <c r="C168" s="20"/>
      <c r="D168" s="196"/>
      <c r="E168" s="196"/>
      <c r="F168" s="196"/>
      <c r="G168" s="196"/>
      <c r="H168" s="615"/>
      <c r="I168" s="615"/>
      <c r="J168" s="618"/>
      <c r="K168" s="619"/>
      <c r="L168" s="196"/>
      <c r="M168" s="196"/>
      <c r="N168" s="196"/>
      <c r="P168" s="196"/>
      <c r="Q168" s="620"/>
      <c r="R168" s="619"/>
      <c r="S168" s="196"/>
      <c r="T168" s="196"/>
      <c r="U168" s="196"/>
      <c r="V168" s="196"/>
      <c r="X168" s="20"/>
      <c r="Z168" s="20"/>
    </row>
    <row r="169" spans="1:26" x14ac:dyDescent="0.2">
      <c r="A169" s="196"/>
      <c r="B169" s="196"/>
      <c r="C169" s="20"/>
      <c r="D169" s="196"/>
      <c r="E169" s="196"/>
      <c r="F169" s="196"/>
      <c r="G169" s="196"/>
      <c r="H169" s="615"/>
      <c r="I169" s="615"/>
      <c r="J169" s="196"/>
      <c r="K169" s="196"/>
      <c r="L169" s="196"/>
      <c r="M169" s="196"/>
      <c r="N169" s="196"/>
      <c r="P169" s="196"/>
      <c r="Q169" s="620"/>
      <c r="R169" s="619"/>
      <c r="S169" s="196"/>
      <c r="T169" s="196"/>
      <c r="U169" s="196"/>
      <c r="V169" s="196"/>
      <c r="X169" s="20"/>
    </row>
    <row r="170" spans="1:26" x14ac:dyDescent="0.2">
      <c r="A170" s="196"/>
      <c r="B170" s="196"/>
      <c r="C170" s="20"/>
      <c r="D170" s="196"/>
      <c r="E170" s="196"/>
      <c r="F170" s="196"/>
      <c r="G170" s="196"/>
      <c r="H170" s="615"/>
      <c r="I170" s="615"/>
      <c r="J170" s="196"/>
      <c r="K170" s="196"/>
      <c r="L170" s="196"/>
      <c r="M170" s="196"/>
      <c r="N170" s="196"/>
      <c r="P170" s="196"/>
      <c r="Q170" s="196"/>
      <c r="R170" s="196"/>
      <c r="S170" s="196"/>
      <c r="T170" s="196"/>
      <c r="U170" s="196"/>
      <c r="V170" s="196"/>
      <c r="X170" s="20"/>
    </row>
    <row r="171" spans="1:26" ht="15" x14ac:dyDescent="0.25">
      <c r="A171" s="196"/>
      <c r="B171" s="196"/>
      <c r="C171" s="20"/>
      <c r="D171" s="196"/>
      <c r="E171" s="196"/>
      <c r="F171" s="196"/>
      <c r="G171" s="616"/>
      <c r="H171" s="617"/>
      <c r="I171" s="615"/>
      <c r="J171" s="196"/>
      <c r="K171" s="196"/>
      <c r="L171" s="196"/>
      <c r="M171" s="196"/>
      <c r="N171" s="196"/>
      <c r="P171" s="196"/>
      <c r="Q171" s="196"/>
      <c r="R171" s="196"/>
      <c r="S171" s="196"/>
      <c r="T171" s="196"/>
      <c r="U171" s="196"/>
      <c r="V171" s="196"/>
      <c r="X171" s="20"/>
    </row>
    <row r="172" spans="1:26" x14ac:dyDescent="0.2">
      <c r="A172" s="196"/>
      <c r="B172" s="196"/>
      <c r="C172" s="20"/>
      <c r="D172" s="196"/>
      <c r="E172" s="196"/>
      <c r="F172" s="196"/>
      <c r="G172" s="196"/>
      <c r="H172" s="615"/>
      <c r="I172" s="615"/>
      <c r="J172" s="196"/>
      <c r="K172" s="196"/>
      <c r="L172" s="196"/>
      <c r="M172" s="196"/>
      <c r="N172" s="196"/>
      <c r="P172" s="196"/>
      <c r="Q172" s="196"/>
      <c r="R172" s="196"/>
      <c r="S172" s="196"/>
      <c r="T172" s="196"/>
      <c r="U172" s="196"/>
      <c r="V172" s="196"/>
      <c r="X172" s="20"/>
    </row>
    <row r="173" spans="1:26" x14ac:dyDescent="0.2">
      <c r="A173" s="196"/>
      <c r="B173" s="196"/>
      <c r="C173" s="20"/>
      <c r="D173" s="196"/>
      <c r="E173" s="196"/>
      <c r="F173" s="196"/>
      <c r="G173" s="196"/>
      <c r="H173" s="615"/>
      <c r="I173" s="615"/>
      <c r="J173" s="196"/>
      <c r="K173" s="196"/>
      <c r="L173" s="196"/>
      <c r="M173" s="196"/>
      <c r="N173" s="196"/>
      <c r="P173" s="196"/>
      <c r="Q173" s="196"/>
      <c r="R173" s="196"/>
      <c r="S173" s="196"/>
      <c r="T173" s="196"/>
      <c r="U173" s="196"/>
      <c r="V173" s="196"/>
      <c r="X173" s="20"/>
    </row>
    <row r="174" spans="1:26" x14ac:dyDescent="0.2">
      <c r="A174" s="196"/>
      <c r="B174" s="196"/>
      <c r="D174" s="196"/>
      <c r="E174" s="196"/>
      <c r="F174" s="360"/>
      <c r="G174" s="196"/>
      <c r="H174" s="615"/>
      <c r="I174" s="615"/>
      <c r="J174" s="615"/>
      <c r="K174" s="196"/>
      <c r="L174" s="196"/>
      <c r="M174" s="196"/>
      <c r="N174" s="196"/>
      <c r="P174" s="196"/>
      <c r="Q174" s="196"/>
      <c r="R174" s="196"/>
      <c r="S174" s="196"/>
      <c r="T174" s="196"/>
      <c r="U174" s="196"/>
      <c r="V174" s="196"/>
    </row>
    <row r="175" spans="1:26" x14ac:dyDescent="0.2">
      <c r="A175" s="196"/>
      <c r="B175" s="196"/>
      <c r="D175" s="196"/>
      <c r="E175" s="196"/>
      <c r="F175" s="360"/>
      <c r="G175" s="196"/>
      <c r="H175" s="615"/>
      <c r="I175" s="615"/>
      <c r="J175" s="615"/>
      <c r="K175" s="196"/>
      <c r="L175" s="196"/>
      <c r="M175" s="196"/>
      <c r="N175" s="196"/>
      <c r="P175" s="196"/>
      <c r="Q175" s="196"/>
      <c r="R175" s="196"/>
      <c r="S175" s="196"/>
      <c r="T175" s="196"/>
      <c r="U175" s="196"/>
      <c r="V175" s="196"/>
    </row>
    <row r="176" spans="1:26" x14ac:dyDescent="0.2">
      <c r="A176" s="196"/>
      <c r="B176" s="196"/>
      <c r="D176" s="196"/>
      <c r="E176" s="196"/>
      <c r="F176" s="360"/>
      <c r="G176" s="196"/>
      <c r="H176" s="615"/>
      <c r="I176" s="615"/>
      <c r="J176" s="615"/>
      <c r="K176" s="196"/>
      <c r="L176" s="196"/>
      <c r="M176" s="196"/>
      <c r="N176" s="196"/>
      <c r="P176" s="196"/>
      <c r="Q176" s="196"/>
      <c r="R176" s="196"/>
      <c r="S176" s="196"/>
      <c r="T176" s="196"/>
      <c r="U176" s="196"/>
      <c r="V176" s="196"/>
    </row>
    <row r="177" spans="1:22" x14ac:dyDescent="0.2">
      <c r="A177" s="196"/>
      <c r="B177" s="196"/>
      <c r="D177" s="196"/>
      <c r="E177" s="196"/>
      <c r="F177" s="360"/>
      <c r="G177" s="196"/>
      <c r="H177" s="615"/>
      <c r="I177" s="615"/>
      <c r="J177" s="615"/>
      <c r="K177" s="196"/>
      <c r="L177" s="196"/>
      <c r="M177" s="196"/>
      <c r="N177" s="196"/>
      <c r="P177" s="196"/>
      <c r="Q177" s="196"/>
      <c r="R177" s="196"/>
      <c r="S177" s="196"/>
      <c r="T177" s="196"/>
      <c r="U177" s="196"/>
      <c r="V177" s="196"/>
    </row>
    <row r="178" spans="1:22" x14ac:dyDescent="0.2">
      <c r="A178" s="196"/>
      <c r="B178" s="196"/>
      <c r="D178" s="196"/>
      <c r="E178" s="196"/>
      <c r="F178" s="360"/>
      <c r="G178" s="196"/>
      <c r="H178" s="615"/>
      <c r="I178" s="615"/>
      <c r="J178" s="615"/>
      <c r="K178" s="196"/>
      <c r="L178" s="196"/>
      <c r="M178" s="196"/>
      <c r="N178" s="196"/>
      <c r="P178" s="196"/>
      <c r="Q178" s="196"/>
      <c r="R178" s="196"/>
      <c r="S178" s="196"/>
      <c r="T178" s="196"/>
      <c r="U178" s="196"/>
      <c r="V178" s="196"/>
    </row>
    <row r="179" spans="1:22" x14ac:dyDescent="0.2">
      <c r="A179" s="196"/>
      <c r="B179" s="196"/>
      <c r="D179" s="196"/>
      <c r="E179" s="196"/>
      <c r="F179" s="360"/>
      <c r="G179" s="196"/>
      <c r="H179" s="615"/>
      <c r="I179" s="615"/>
      <c r="J179" s="615"/>
      <c r="K179" s="196"/>
      <c r="L179" s="196"/>
      <c r="M179" s="196"/>
      <c r="N179" s="196"/>
      <c r="P179" s="196"/>
      <c r="Q179" s="196"/>
      <c r="R179" s="196"/>
      <c r="S179" s="196"/>
      <c r="T179" s="196"/>
      <c r="U179" s="196"/>
      <c r="V179" s="196"/>
    </row>
    <row r="180" spans="1:22" x14ac:dyDescent="0.2">
      <c r="A180" s="196"/>
      <c r="B180" s="196"/>
      <c r="D180" s="196"/>
      <c r="E180" s="196"/>
      <c r="F180" s="360"/>
      <c r="G180" s="196"/>
      <c r="H180" s="615"/>
      <c r="I180" s="615"/>
      <c r="J180" s="615"/>
      <c r="K180" s="196"/>
      <c r="L180" s="196"/>
      <c r="M180" s="196"/>
      <c r="N180" s="196"/>
      <c r="P180" s="196"/>
      <c r="Q180" s="196"/>
      <c r="R180" s="196"/>
      <c r="S180" s="196"/>
      <c r="T180" s="196"/>
      <c r="U180" s="196"/>
      <c r="V180" s="196"/>
    </row>
    <row r="181" spans="1:22" x14ac:dyDescent="0.2">
      <c r="A181" s="196"/>
      <c r="B181" s="196"/>
      <c r="D181" s="196"/>
      <c r="E181" s="196"/>
      <c r="F181" s="360"/>
      <c r="G181" s="196"/>
      <c r="H181" s="615"/>
      <c r="I181" s="615"/>
      <c r="J181" s="615"/>
      <c r="K181" s="196"/>
      <c r="L181" s="196"/>
      <c r="M181" s="196"/>
      <c r="N181" s="196"/>
      <c r="P181" s="196"/>
      <c r="Q181" s="196"/>
      <c r="R181" s="196"/>
      <c r="S181" s="196"/>
      <c r="T181" s="196"/>
      <c r="U181" s="196"/>
      <c r="V181" s="196"/>
    </row>
    <row r="182" spans="1:22" x14ac:dyDescent="0.2">
      <c r="A182" s="196"/>
      <c r="B182" s="196"/>
      <c r="D182" s="196"/>
      <c r="E182" s="196"/>
      <c r="F182" s="360"/>
      <c r="G182" s="196"/>
      <c r="H182" s="615"/>
      <c r="I182" s="615"/>
      <c r="J182" s="615"/>
      <c r="K182" s="196"/>
      <c r="L182" s="196"/>
      <c r="M182" s="196"/>
      <c r="N182" s="196"/>
      <c r="P182" s="196"/>
      <c r="Q182" s="196"/>
      <c r="R182" s="196"/>
      <c r="S182" s="196"/>
      <c r="T182" s="196"/>
      <c r="U182" s="196"/>
      <c r="V182" s="196"/>
    </row>
    <row r="183" spans="1:22" x14ac:dyDescent="0.2">
      <c r="A183" s="196"/>
      <c r="B183" s="196"/>
      <c r="D183" s="196"/>
      <c r="E183" s="196"/>
      <c r="F183" s="360"/>
      <c r="G183" s="196"/>
      <c r="H183" s="615"/>
      <c r="I183" s="615"/>
      <c r="J183" s="615"/>
      <c r="K183" s="196"/>
      <c r="L183" s="196"/>
      <c r="M183" s="196"/>
      <c r="N183" s="196"/>
      <c r="P183" s="196"/>
      <c r="Q183" s="196"/>
      <c r="R183" s="196"/>
      <c r="S183" s="196"/>
      <c r="T183" s="196"/>
      <c r="U183" s="196"/>
      <c r="V183" s="196"/>
    </row>
    <row r="184" spans="1:22" x14ac:dyDescent="0.2">
      <c r="A184" s="196"/>
      <c r="B184" s="196"/>
      <c r="D184" s="196"/>
      <c r="E184" s="196"/>
      <c r="F184" s="360"/>
      <c r="G184" s="196"/>
      <c r="H184" s="615"/>
      <c r="I184" s="615"/>
      <c r="J184" s="615"/>
      <c r="K184" s="196"/>
      <c r="L184" s="196"/>
      <c r="M184" s="196"/>
      <c r="N184" s="196"/>
      <c r="P184" s="196"/>
      <c r="Q184" s="196"/>
      <c r="R184" s="196"/>
      <c r="S184" s="196"/>
      <c r="T184" s="196"/>
      <c r="U184" s="196"/>
      <c r="V184" s="196"/>
    </row>
    <row r="185" spans="1:22" x14ac:dyDescent="0.2">
      <c r="A185" s="196"/>
      <c r="B185" s="196"/>
      <c r="D185" s="196"/>
      <c r="E185" s="196"/>
      <c r="F185" s="360"/>
      <c r="G185" s="196"/>
      <c r="H185" s="615"/>
      <c r="I185" s="615"/>
      <c r="J185" s="615"/>
      <c r="K185" s="196"/>
      <c r="L185" s="196"/>
      <c r="M185" s="196"/>
      <c r="N185" s="196"/>
      <c r="P185" s="196"/>
      <c r="Q185" s="196"/>
      <c r="R185" s="196"/>
      <c r="S185" s="196"/>
      <c r="T185" s="196"/>
      <c r="U185" s="196"/>
      <c r="V185" s="196"/>
    </row>
    <row r="186" spans="1:22" x14ac:dyDescent="0.2">
      <c r="A186" s="196"/>
      <c r="B186" s="196"/>
      <c r="D186" s="196"/>
      <c r="E186" s="196"/>
      <c r="F186" s="360"/>
      <c r="G186" s="196"/>
      <c r="H186" s="615"/>
      <c r="I186" s="615"/>
      <c r="J186" s="615"/>
      <c r="K186" s="196"/>
      <c r="L186" s="196"/>
      <c r="M186" s="196"/>
      <c r="N186" s="196"/>
      <c r="P186" s="196"/>
      <c r="Q186" s="196"/>
      <c r="R186" s="196"/>
      <c r="S186" s="196"/>
      <c r="T186" s="196"/>
      <c r="U186" s="196"/>
      <c r="V186" s="196"/>
    </row>
  </sheetData>
  <autoFilter ref="A1:AN152">
    <filterColumn colId="27" showButton="0"/>
    <filterColumn colId="28" showButton="0"/>
    <filterColumn colId="29" showButton="0"/>
  </autoFilter>
  <mergeCells count="32">
    <mergeCell ref="M85:M103"/>
    <mergeCell ref="N85:N93"/>
    <mergeCell ref="Y92:Y96"/>
    <mergeCell ref="N94:N103"/>
    <mergeCell ref="Y97:Y101"/>
    <mergeCell ref="Y55:AC55"/>
    <mergeCell ref="Y56:AC56"/>
    <mergeCell ref="Y69:Z69"/>
    <mergeCell ref="AA72:AC72"/>
    <mergeCell ref="AK72:AK74"/>
    <mergeCell ref="AL72:AL74"/>
    <mergeCell ref="AB75:AD75"/>
    <mergeCell ref="N81:N84"/>
    <mergeCell ref="M56:M57"/>
    <mergeCell ref="N56:N57"/>
    <mergeCell ref="Y66:Z66"/>
    <mergeCell ref="Y67:Z67"/>
    <mergeCell ref="Y68:Z68"/>
    <mergeCell ref="N27:N49"/>
    <mergeCell ref="P27:P49"/>
    <mergeCell ref="Y33:Y34"/>
    <mergeCell ref="N50:N55"/>
    <mergeCell ref="P50:P55"/>
    <mergeCell ref="AB1:AE1"/>
    <mergeCell ref="AF1:AF2"/>
    <mergeCell ref="AG1:AG2"/>
    <mergeCell ref="N2:N26"/>
    <mergeCell ref="P2:P26"/>
    <mergeCell ref="AQ2:AU2"/>
    <mergeCell ref="AB15:AC15"/>
    <mergeCell ref="AB16:AC16"/>
    <mergeCell ref="AB17:AC17"/>
  </mergeCells>
  <conditionalFormatting sqref="AA78">
    <cfRule type="cellIs" dxfId="4" priority="3" operator="lessThan">
      <formula>$AA$78</formula>
    </cfRule>
    <cfRule type="cellIs" dxfId="3" priority="5" operator="greaterThan">
      <formula>$AE$78</formula>
    </cfRule>
  </conditionalFormatting>
  <conditionalFormatting sqref="AA79">
    <cfRule type="cellIs" dxfId="2" priority="4" operator="greaterThan">
      <formula>$AE$79</formula>
    </cfRule>
  </conditionalFormatting>
  <conditionalFormatting sqref="AA80">
    <cfRule type="cellIs" dxfId="1" priority="2" operator="greaterThan">
      <formula>$AE$79</formula>
    </cfRule>
  </conditionalFormatting>
  <conditionalFormatting sqref="AU4:AU23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00B0F0"/>
  </sheetPr>
  <dimension ref="A1:AU173"/>
  <sheetViews>
    <sheetView topLeftCell="P1" zoomScale="90" zoomScaleNormal="90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208445</v>
      </c>
      <c r="M2" s="29"/>
      <c r="N2" s="798">
        <f>SUM(K2:K26)</f>
        <v>221501</v>
      </c>
      <c r="O2" s="30">
        <f>+K2/$N$2</f>
        <v>1.3543956912158411E-2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208445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562" t="s">
        <v>31</v>
      </c>
      <c r="AE2" s="562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207345</v>
      </c>
      <c r="M3" s="29"/>
      <c r="N3" s="799"/>
      <c r="O3" s="30">
        <f t="shared" ref="O3:O29" si="2">+K3/$N$2</f>
        <v>4.9661175344580836E-3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207345</v>
      </c>
      <c r="X3" s="32">
        <f t="shared" ref="X3:X56" si="9">W3-L3</f>
        <v>0</v>
      </c>
      <c r="Y3" s="37" t="s">
        <v>34</v>
      </c>
      <c r="Z3" s="38">
        <f>ROUND((Z13*57%),0)</f>
        <v>281067</v>
      </c>
      <c r="AA3" s="39">
        <f>ROUND((+Z14*0.57),0)</f>
        <v>280287</v>
      </c>
      <c r="AB3" s="454">
        <v>93262</v>
      </c>
      <c r="AC3" s="455">
        <v>168624</v>
      </c>
      <c r="AD3" s="40">
        <f>AA3-AB3-AC3+99</f>
        <v>18500</v>
      </c>
      <c r="AE3" s="41">
        <f>SUM(AB3:AD3)</f>
        <v>280386</v>
      </c>
      <c r="AF3" s="41">
        <f>AA3-AE3</f>
        <v>-99</v>
      </c>
      <c r="AG3" s="42">
        <f>AA3-AB3-AC3-AD3</f>
        <v>-99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184945</v>
      </c>
      <c r="M4" s="29"/>
      <c r="N4" s="799"/>
      <c r="O4" s="30">
        <f t="shared" si="2"/>
        <v>0.10112821161078279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184945</v>
      </c>
      <c r="X4" s="32">
        <f t="shared" si="9"/>
        <v>0</v>
      </c>
      <c r="Y4" s="37" t="s">
        <v>38</v>
      </c>
      <c r="Z4" s="38">
        <f>ROUND((Z13*43%),0)</f>
        <v>212033</v>
      </c>
      <c r="AA4" s="39">
        <f>ROUND((+Z14*0.43),0)</f>
        <v>211445</v>
      </c>
      <c r="AB4" s="43">
        <f>T105</f>
        <v>44010</v>
      </c>
      <c r="AC4" s="43">
        <f>S105</f>
        <v>167435</v>
      </c>
      <c r="AD4" s="40">
        <f>U105</f>
        <v>0</v>
      </c>
      <c r="AE4" s="41">
        <f>SUM(AB4:AD4)</f>
        <v>211445</v>
      </c>
      <c r="AF4" s="41">
        <f>AA4-AE4</f>
        <v>0</v>
      </c>
      <c r="AG4" s="42">
        <f>AA4-AB4-AC4-AD4</f>
        <v>0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183745</v>
      </c>
      <c r="M5" s="29"/>
      <c r="N5" s="799"/>
      <c r="O5" s="30">
        <f t="shared" si="2"/>
        <v>5.4175827648633643E-3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183745</v>
      </c>
      <c r="X5" s="32">
        <f t="shared" si="9"/>
        <v>0</v>
      </c>
      <c r="Y5" s="44" t="s">
        <v>41</v>
      </c>
      <c r="Z5" s="38">
        <f>SUM(Z3:Z4)</f>
        <v>493100</v>
      </c>
      <c r="AA5" s="45">
        <f>SUM(AA3:AA4)</f>
        <v>491732</v>
      </c>
      <c r="AB5" s="46">
        <f>SUM(AB3:AB4)</f>
        <v>137272</v>
      </c>
      <c r="AC5" s="41">
        <f>SUM(AC3:AC4)</f>
        <v>336059</v>
      </c>
      <c r="AD5" s="40">
        <f>SUM(AD3:AD4)</f>
        <v>18500</v>
      </c>
      <c r="AE5" s="41">
        <f>SUM(AB5:AD5)</f>
        <v>491831</v>
      </c>
      <c r="AF5" s="47">
        <f>SUM(AF3:AF4)</f>
        <v>-99</v>
      </c>
      <c r="AG5" s="47">
        <f>SUM(AG3:AG4)</f>
        <v>-99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171745</v>
      </c>
      <c r="M6" s="29"/>
      <c r="N6" s="799"/>
      <c r="O6" s="30">
        <f t="shared" si="2"/>
        <v>5.4175827648633643E-2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171745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v>130500</v>
      </c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1796+12370</f>
        <v>14166</v>
      </c>
      <c r="I7" s="518">
        <f>604+2430+800</f>
        <v>3834</v>
      </c>
      <c r="J7" s="26"/>
      <c r="K7" s="27">
        <f t="shared" si="0"/>
        <v>18000</v>
      </c>
      <c r="L7" s="28">
        <f t="shared" si="1"/>
        <v>153745</v>
      </c>
      <c r="M7" s="29"/>
      <c r="N7" s="799"/>
      <c r="O7" s="30">
        <f t="shared" si="2"/>
        <v>8.1263741472950457E-2</v>
      </c>
      <c r="P7" s="802"/>
      <c r="Q7" s="31">
        <f t="shared" si="3"/>
        <v>0</v>
      </c>
      <c r="R7" s="31"/>
      <c r="S7" s="28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153745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151245</v>
      </c>
      <c r="M8" s="29"/>
      <c r="N8" s="799"/>
      <c r="O8" s="30">
        <f t="shared" si="2"/>
        <v>1.1286630760132008E-2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151245</v>
      </c>
      <c r="X8" s="32">
        <f t="shared" si="9"/>
        <v>0</v>
      </c>
      <c r="Y8" s="14" t="s">
        <v>47</v>
      </c>
      <c r="Z8" s="54">
        <v>41914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1405</v>
      </c>
      <c r="I9" s="518">
        <v>795</v>
      </c>
      <c r="J9" s="26"/>
      <c r="K9" s="27">
        <f t="shared" si="0"/>
        <v>2200</v>
      </c>
      <c r="L9" s="28">
        <f t="shared" si="1"/>
        <v>149045</v>
      </c>
      <c r="M9" s="29"/>
      <c r="N9" s="799"/>
      <c r="O9" s="30">
        <f t="shared" si="2"/>
        <v>9.9322350689161672E-3</v>
      </c>
      <c r="P9" s="802"/>
      <c r="Q9" s="31">
        <f t="shared" si="3"/>
        <v>0</v>
      </c>
      <c r="R9" s="31"/>
      <c r="S9" s="28">
        <f t="shared" si="4"/>
        <v>1405</v>
      </c>
      <c r="T9" s="28">
        <f t="shared" si="5"/>
        <v>795</v>
      </c>
      <c r="U9" s="28">
        <f t="shared" si="6"/>
        <v>0</v>
      </c>
      <c r="V9" s="28">
        <f t="shared" si="7"/>
        <v>2200</v>
      </c>
      <c r="W9" s="31">
        <f t="shared" si="8"/>
        <v>149045</v>
      </c>
      <c r="X9" s="32">
        <f t="shared" si="9"/>
        <v>0</v>
      </c>
      <c r="Y9" s="14" t="s">
        <v>189</v>
      </c>
      <c r="Z9" s="58">
        <f>493100-AB9</f>
        <v>493100</v>
      </c>
      <c r="AA9" s="59">
        <f>Z9*14.65/14.73</f>
        <v>490421.92803801765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-151500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26"/>
      <c r="J10" s="26"/>
      <c r="K10" s="27">
        <f t="shared" si="0"/>
        <v>20000</v>
      </c>
      <c r="L10" s="28">
        <f t="shared" si="1"/>
        <v>129045</v>
      </c>
      <c r="M10" s="29"/>
      <c r="N10" s="799"/>
      <c r="O10" s="30">
        <f t="shared" si="2"/>
        <v>9.0293046081056066E-2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129045</v>
      </c>
      <c r="X10" s="32">
        <f t="shared" si="9"/>
        <v>0</v>
      </c>
      <c r="Y10" s="14" t="s">
        <v>191</v>
      </c>
      <c r="Z10" s="58">
        <f>ROUND((Z9*Z30),0)</f>
        <v>491732</v>
      </c>
      <c r="AA10" s="59">
        <f>Z10*14.65/14.73</f>
        <v>489061.35777325183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111045</v>
      </c>
      <c r="M11" s="29"/>
      <c r="N11" s="799"/>
      <c r="O11" s="30">
        <f t="shared" si="2"/>
        <v>8.1263741472950457E-2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111045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-78399.999999999985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107445</v>
      </c>
      <c r="M12" s="29"/>
      <c r="N12" s="799"/>
      <c r="O12" s="30">
        <f t="shared" si="2"/>
        <v>1.6252748294590093E-2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107445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5837</v>
      </c>
      <c r="AU12" s="434">
        <f t="shared" si="10"/>
        <v>-163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1"/>
        <v>101445</v>
      </c>
      <c r="M13" s="29"/>
      <c r="N13" s="799"/>
      <c r="O13" s="30">
        <f t="shared" si="2"/>
        <v>2.7087913824316821E-2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101445</v>
      </c>
      <c r="X13" s="32">
        <f t="shared" si="9"/>
        <v>0</v>
      </c>
      <c r="Y13" s="14" t="s">
        <v>67</v>
      </c>
      <c r="Z13" s="67">
        <f>Z14/Z30</f>
        <v>493099.81652734074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163</v>
      </c>
      <c r="AU13" s="434">
        <f t="shared" si="10"/>
        <v>-1337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59">
        <v>12401</v>
      </c>
      <c r="I14" s="26">
        <v>0</v>
      </c>
      <c r="J14" s="26"/>
      <c r="K14" s="27">
        <f t="shared" si="0"/>
        <v>12401</v>
      </c>
      <c r="L14" s="28">
        <f t="shared" si="1"/>
        <v>89044</v>
      </c>
      <c r="M14" s="29"/>
      <c r="N14" s="799"/>
      <c r="O14" s="30">
        <f t="shared" si="2"/>
        <v>5.5986203222558817E-2</v>
      </c>
      <c r="P14" s="802"/>
      <c r="Q14" s="31">
        <f t="shared" si="3"/>
        <v>0</v>
      </c>
      <c r="R14" s="31">
        <v>0</v>
      </c>
      <c r="S14" s="28">
        <f t="shared" si="4"/>
        <v>12401</v>
      </c>
      <c r="T14" s="28">
        <f t="shared" si="5"/>
        <v>0</v>
      </c>
      <c r="U14" s="28">
        <f t="shared" si="6"/>
        <v>0</v>
      </c>
      <c r="V14" s="28">
        <f t="shared" si="7"/>
        <v>12401</v>
      </c>
      <c r="W14" s="31">
        <f t="shared" si="8"/>
        <v>89044</v>
      </c>
      <c r="X14" s="32">
        <f t="shared" si="9"/>
        <v>0</v>
      </c>
      <c r="Y14" s="14" t="s">
        <v>70</v>
      </c>
      <c r="Z14" s="67">
        <f>+Z10-(Z11+Z12)</f>
        <v>491732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71844</v>
      </c>
      <c r="M15" s="29"/>
      <c r="N15" s="799"/>
      <c r="O15" s="30">
        <f t="shared" si="2"/>
        <v>7.7652019629708219E-2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71844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51344</v>
      </c>
      <c r="M16" s="29"/>
      <c r="N16" s="799"/>
      <c r="O16" s="30">
        <f t="shared" si="2"/>
        <v>9.2550372233082476E-2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51344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5500</v>
      </c>
      <c r="I17" s="26">
        <v>0</v>
      </c>
      <c r="J17" s="26"/>
      <c r="K17" s="27">
        <f t="shared" si="0"/>
        <v>5500</v>
      </c>
      <c r="L17" s="28">
        <f t="shared" si="1"/>
        <v>45844</v>
      </c>
      <c r="M17" s="29"/>
      <c r="N17" s="799"/>
      <c r="O17" s="30">
        <f t="shared" si="2"/>
        <v>2.4830587672290419E-2</v>
      </c>
      <c r="P17" s="802"/>
      <c r="Q17" s="31">
        <f t="shared" si="3"/>
        <v>0</v>
      </c>
      <c r="R17" s="31">
        <v>0</v>
      </c>
      <c r="S17" s="28">
        <f t="shared" si="4"/>
        <v>5500</v>
      </c>
      <c r="T17" s="28">
        <f t="shared" si="5"/>
        <v>0</v>
      </c>
      <c r="U17" s="28">
        <f t="shared" si="6"/>
        <v>0</v>
      </c>
      <c r="V17" s="28">
        <f t="shared" si="7"/>
        <v>5500</v>
      </c>
      <c r="W17" s="31">
        <f t="shared" si="8"/>
        <v>45844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45</v>
      </c>
      <c r="H18" s="26"/>
      <c r="I18" s="518">
        <v>337</v>
      </c>
      <c r="J18" s="26"/>
      <c r="K18" s="27">
        <f t="shared" si="0"/>
        <v>337</v>
      </c>
      <c r="L18" s="28">
        <f t="shared" si="1"/>
        <v>45507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337</v>
      </c>
      <c r="U18" s="28">
        <f t="shared" si="6"/>
        <v>0</v>
      </c>
      <c r="V18" s="28">
        <f t="shared" si="7"/>
        <v>337</v>
      </c>
      <c r="W18" s="31">
        <f t="shared" si="8"/>
        <v>45507</v>
      </c>
      <c r="X18" s="32"/>
      <c r="Y18" s="14" t="s">
        <v>77</v>
      </c>
      <c r="Z18" s="71">
        <f>ROUND(Z14*0.43,0)</f>
        <v>211445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18">
        <v>163</v>
      </c>
      <c r="I19" s="26"/>
      <c r="J19" s="26"/>
      <c r="K19" s="27">
        <f t="shared" si="0"/>
        <v>163</v>
      </c>
      <c r="L19" s="28">
        <f t="shared" si="1"/>
        <v>45344</v>
      </c>
      <c r="M19" s="29"/>
      <c r="N19" s="799"/>
      <c r="O19" s="30">
        <f t="shared" si="2"/>
        <v>7.3588832556060698E-4</v>
      </c>
      <c r="P19" s="802"/>
      <c r="Q19" s="31">
        <f t="shared" si="3"/>
        <v>0</v>
      </c>
      <c r="R19" s="31">
        <v>0</v>
      </c>
      <c r="S19" s="28">
        <f t="shared" si="4"/>
        <v>163</v>
      </c>
      <c r="T19" s="28">
        <f t="shared" si="5"/>
        <v>0</v>
      </c>
      <c r="U19" s="28">
        <f t="shared" si="6"/>
        <v>0</v>
      </c>
      <c r="V19" s="28">
        <f t="shared" si="7"/>
        <v>163</v>
      </c>
      <c r="W19" s="31">
        <f t="shared" si="8"/>
        <v>45344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43844</v>
      </c>
      <c r="M20" s="29"/>
      <c r="N20" s="799"/>
      <c r="O20" s="30">
        <f t="shared" si="2"/>
        <v>6.7719784560792053E-3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43844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/>
      <c r="I21" s="26">
        <v>0</v>
      </c>
      <c r="J21" s="26"/>
      <c r="K21" s="27">
        <f t="shared" si="0"/>
        <v>0</v>
      </c>
      <c r="L21" s="28">
        <f t="shared" si="1"/>
        <v>43844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43844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36344</v>
      </c>
      <c r="M22" s="29"/>
      <c r="N22" s="799"/>
      <c r="O22" s="30">
        <f t="shared" si="2"/>
        <v>3.3859892280396028E-2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36344</v>
      </c>
      <c r="X22" s="32">
        <f t="shared" si="9"/>
        <v>0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36344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36344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36344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36344</v>
      </c>
      <c r="X24" s="32">
        <f t="shared" si="9"/>
        <v>0</v>
      </c>
      <c r="Y24" s="74" t="s">
        <v>169</v>
      </c>
      <c r="Z24" s="75">
        <f>+Z18+Z19</f>
        <v>211445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24344</v>
      </c>
      <c r="M25" s="29"/>
      <c r="N25" s="799"/>
      <c r="O25" s="30">
        <f t="shared" si="2"/>
        <v>5.4175827648633643E-2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88" si="11">+W24-V25</f>
        <v>24344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-10056</v>
      </c>
      <c r="M26" s="86"/>
      <c r="N26" s="800"/>
      <c r="O26" s="87">
        <f t="shared" si="2"/>
        <v>0.15530403925941644</v>
      </c>
      <c r="P26" s="803"/>
      <c r="Q26" s="144">
        <f t="shared" si="3"/>
        <v>0</v>
      </c>
      <c r="R26" s="144">
        <v>-34400</v>
      </c>
      <c r="S26" s="423">
        <f t="shared" si="4"/>
        <v>0</v>
      </c>
      <c r="T26" s="423">
        <f t="shared" si="5"/>
        <v>0</v>
      </c>
      <c r="U26" s="423">
        <f t="shared" si="6"/>
        <v>0</v>
      </c>
      <c r="V26" s="423">
        <f t="shared" si="7"/>
        <v>0</v>
      </c>
      <c r="W26" s="31">
        <f t="shared" si="11"/>
        <v>24344</v>
      </c>
      <c r="X26" s="32">
        <f t="shared" si="9"/>
        <v>34400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-10056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1"/>
        <v>24344</v>
      </c>
      <c r="X27" s="32">
        <f t="shared" si="9"/>
        <v>34400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-10056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24344</v>
      </c>
      <c r="X28" s="32">
        <f t="shared" si="9"/>
        <v>34400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-10056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24344</v>
      </c>
      <c r="X29" s="32">
        <f t="shared" si="9"/>
        <v>34400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-10056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24344</v>
      </c>
      <c r="X30" s="32">
        <f t="shared" si="9"/>
        <v>34400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-10056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24344</v>
      </c>
      <c r="X31" s="32">
        <f t="shared" si="9"/>
        <v>34400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-10056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24344</v>
      </c>
      <c r="X32" s="32">
        <f t="shared" si="9"/>
        <v>34400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-10056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24344</v>
      </c>
      <c r="X33" s="32">
        <f t="shared" si="9"/>
        <v>34400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-10056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24344</v>
      </c>
      <c r="X34" s="32">
        <f t="shared" si="9"/>
        <v>34400</v>
      </c>
      <c r="Y34" s="806"/>
      <c r="Z34" s="112">
        <v>100000</v>
      </c>
      <c r="AA34" s="113">
        <f>AD5-Z34</f>
        <v>-81500</v>
      </c>
      <c r="AB34" s="113">
        <f>Z34+AA34</f>
        <v>18500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-10056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24344</v>
      </c>
      <c r="X35" s="32">
        <f>W35-L35</f>
        <v>34400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-10056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24344</v>
      </c>
      <c r="X36" s="32">
        <f t="shared" si="9"/>
        <v>34400</v>
      </c>
      <c r="Y36" s="117" t="s">
        <v>60</v>
      </c>
      <c r="Z36" s="113">
        <f>Z34*57%</f>
        <v>56999.999999999993</v>
      </c>
      <c r="AA36" s="113">
        <f>AD3-Z36</f>
        <v>-38499.999999999993</v>
      </c>
      <c r="AB36" s="113">
        <f>Z36+AA36</f>
        <v>18500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-10056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24344</v>
      </c>
      <c r="X37" s="32">
        <f t="shared" si="9"/>
        <v>34400</v>
      </c>
      <c r="Y37" s="117" t="s">
        <v>94</v>
      </c>
      <c r="Z37" s="113">
        <f>+Z35+Z36</f>
        <v>100000</v>
      </c>
      <c r="AA37" s="113">
        <f>SUM(AA35:AA36)</f>
        <v>-81500</v>
      </c>
      <c r="AB37" s="113">
        <f>Z37+AA37</f>
        <v>18500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0</v>
      </c>
      <c r="I38" s="26"/>
      <c r="J38" s="26"/>
      <c r="K38" s="27">
        <f t="shared" si="0"/>
        <v>0</v>
      </c>
      <c r="L38" s="28">
        <f>+L37-K38</f>
        <v>-10056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24344</v>
      </c>
      <c r="X38" s="32">
        <f t="shared" si="9"/>
        <v>34400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-10056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24344</v>
      </c>
      <c r="X39" s="32">
        <f t="shared" si="9"/>
        <v>34400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-10056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24344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-10056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24344</v>
      </c>
      <c r="X41" s="32">
        <f t="shared" si="9"/>
        <v>34400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-10056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24344</v>
      </c>
      <c r="X42" s="32">
        <f t="shared" si="9"/>
        <v>34400</v>
      </c>
      <c r="Y42" s="74" t="s">
        <v>96</v>
      </c>
      <c r="Z42" s="75">
        <v>35500</v>
      </c>
      <c r="AA42" s="129">
        <f>+H7+H8+H17+H18+H19+H22+H32+H33+H43+H44+H45+H53</f>
        <v>32829</v>
      </c>
      <c r="AB42" s="129">
        <f>+I7+I8+I17+I18+I19+I22+I32+I33+I43+I44+I45+I53</f>
        <v>4171</v>
      </c>
      <c r="AC42" s="130">
        <f>+AA42+AB42</f>
        <v>37000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-10056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24344</v>
      </c>
      <c r="X43" s="32">
        <f t="shared" si="9"/>
        <v>34400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-10056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24344</v>
      </c>
      <c r="X44" s="32">
        <f t="shared" si="9"/>
        <v>34400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-10056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24344</v>
      </c>
      <c r="X45" s="32">
        <f t="shared" si="9"/>
        <v>34400</v>
      </c>
      <c r="Y45" s="131" t="s">
        <v>98</v>
      </c>
      <c r="Z45" s="132">
        <v>9600</v>
      </c>
      <c r="AA45" s="133">
        <f>+H12+H13+H37+H38</f>
        <v>9600</v>
      </c>
      <c r="AB45" s="133">
        <f>+I12+I13+I37+I38</f>
        <v>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-20056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11"/>
        <v>14344</v>
      </c>
      <c r="X46" s="32">
        <f t="shared" si="9"/>
        <v>34400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-20056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14344</v>
      </c>
      <c r="X47" s="32">
        <f t="shared" si="9"/>
        <v>34400</v>
      </c>
      <c r="Y47" s="57">
        <v>20000</v>
      </c>
      <c r="Z47" s="89">
        <v>4586</v>
      </c>
      <c r="AA47" s="35"/>
      <c r="AB47" s="57">
        <f>57000-AA60</f>
        <v>38500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-20056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14344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-20056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14344</v>
      </c>
      <c r="X49" s="32">
        <f t="shared" si="9"/>
        <v>34400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-20056</v>
      </c>
      <c r="M50" s="95"/>
      <c r="N50" s="804">
        <f>SUM(K50:K55)</f>
        <v>18000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14344</v>
      </c>
      <c r="X50" s="32">
        <f t="shared" si="9"/>
        <v>34400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59">
        <v>15000</v>
      </c>
      <c r="J51" s="26"/>
      <c r="K51" s="444">
        <f t="shared" si="0"/>
        <v>15000</v>
      </c>
      <c r="L51" s="28">
        <f t="shared" si="1"/>
        <v>-35056</v>
      </c>
      <c r="M51" s="234"/>
      <c r="N51" s="799"/>
      <c r="O51" s="184"/>
      <c r="P51" s="802"/>
      <c r="Q51" s="31"/>
      <c r="R51" s="31">
        <v>-656</v>
      </c>
      <c r="S51" s="422">
        <f t="shared" si="4"/>
        <v>0</v>
      </c>
      <c r="T51" s="28">
        <f t="shared" si="5"/>
        <v>14344</v>
      </c>
      <c r="U51" s="28">
        <f t="shared" si="6"/>
        <v>0</v>
      </c>
      <c r="V51" s="28">
        <f t="shared" si="7"/>
        <v>14344</v>
      </c>
      <c r="W51" s="31">
        <f t="shared" si="11"/>
        <v>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-35056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65">
        <v>3000</v>
      </c>
      <c r="I53" s="26"/>
      <c r="J53" s="26"/>
      <c r="K53" s="27">
        <f t="shared" si="0"/>
        <v>3000</v>
      </c>
      <c r="L53" s="28">
        <f>+L52-K53</f>
        <v>-38056</v>
      </c>
      <c r="M53" s="29"/>
      <c r="N53" s="799"/>
      <c r="O53" s="30">
        <f t="shared" si="12"/>
        <v>0.3</v>
      </c>
      <c r="P53" s="802"/>
      <c r="Q53" s="97">
        <f t="shared" si="13"/>
        <v>0</v>
      </c>
      <c r="R53" s="31">
        <v>-3000</v>
      </c>
      <c r="S53" s="28">
        <f t="shared" si="4"/>
        <v>0</v>
      </c>
      <c r="T53" s="28">
        <f t="shared" si="5"/>
        <v>0</v>
      </c>
      <c r="U53" s="28">
        <f t="shared" si="6"/>
        <v>0</v>
      </c>
      <c r="V53" s="28">
        <f t="shared" si="7"/>
        <v>0</v>
      </c>
      <c r="W53" s="31">
        <f t="shared" si="11"/>
        <v>0</v>
      </c>
      <c r="X53" s="32">
        <f t="shared" si="9"/>
        <v>38056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-38056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0</v>
      </c>
      <c r="X54" s="32">
        <f t="shared" si="9"/>
        <v>38056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26">
        <v>0</v>
      </c>
      <c r="J55" s="143"/>
      <c r="K55" s="27">
        <f t="shared" si="0"/>
        <v>0</v>
      </c>
      <c r="L55" s="28">
        <f t="shared" si="1"/>
        <v>-38056</v>
      </c>
      <c r="M55" s="86"/>
      <c r="N55" s="800"/>
      <c r="O55" s="87">
        <f t="shared" si="12"/>
        <v>0</v>
      </c>
      <c r="P55" s="803"/>
      <c r="Q55" s="97">
        <f t="shared" si="13"/>
        <v>0</v>
      </c>
      <c r="R55" s="31"/>
      <c r="S55" s="423">
        <f t="shared" si="4"/>
        <v>0</v>
      </c>
      <c r="T55" s="28">
        <f>IF(I55&lt;&gt;0,+I55+Q55+R55,0)</f>
        <v>0</v>
      </c>
      <c r="U55" s="423">
        <f t="shared" si="6"/>
        <v>0</v>
      </c>
      <c r="V55" s="423">
        <f>+S55+T55+U55</f>
        <v>0</v>
      </c>
      <c r="W55" s="31">
        <f t="shared" si="11"/>
        <v>0</v>
      </c>
      <c r="X55" s="119">
        <f t="shared" si="9"/>
        <v>38056</v>
      </c>
      <c r="Y55" s="807">
        <f>Z8</f>
        <v>41914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-38056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0</v>
      </c>
      <c r="X56" s="119">
        <f t="shared" si="9"/>
        <v>38056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-38056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-38056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0</v>
      </c>
      <c r="X58" s="408"/>
      <c r="Y58" s="180" t="s">
        <v>7</v>
      </c>
      <c r="Z58" s="181">
        <f>+AB4</f>
        <v>44010</v>
      </c>
      <c r="AA58" s="182">
        <f>+AB3</f>
        <v>93262</v>
      </c>
      <c r="AB58" s="182">
        <f>Z12</f>
        <v>0</v>
      </c>
      <c r="AC58" s="181">
        <f>AB10</f>
        <v>0</v>
      </c>
      <c r="AD58" s="183">
        <f>SUM(Z58:AC58)</f>
        <v>137272</v>
      </c>
      <c r="AE58" s="185">
        <v>90000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-38056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0</v>
      </c>
      <c r="X59" s="408"/>
      <c r="Y59" s="180" t="s">
        <v>17</v>
      </c>
      <c r="Z59" s="182">
        <f>+AC4</f>
        <v>167435</v>
      </c>
      <c r="AA59" s="182">
        <f>AC3</f>
        <v>168624</v>
      </c>
      <c r="AB59" s="182">
        <f>Z11</f>
        <v>0</v>
      </c>
      <c r="AC59" s="181">
        <v>0</v>
      </c>
      <c r="AD59" s="183">
        <f>SUM(Z59:AC59)</f>
        <v>336059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-67100.666666666686</v>
      </c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-38056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0</v>
      </c>
      <c r="X60" s="408"/>
      <c r="Y60" s="180" t="s">
        <v>112</v>
      </c>
      <c r="Z60" s="181">
        <f>+AD4+AH11</f>
        <v>0</v>
      </c>
      <c r="AA60" s="182">
        <f>+AD3+AH10</f>
        <v>18500</v>
      </c>
      <c r="AB60" s="191">
        <v>0</v>
      </c>
      <c r="AC60" s="181">
        <v>0</v>
      </c>
      <c r="AD60" s="183">
        <f>SUM(Z60:AC60)</f>
        <v>18500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-38056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0</v>
      </c>
      <c r="X61" s="408"/>
      <c r="Y61" s="193" t="s">
        <v>113</v>
      </c>
      <c r="Z61" s="194">
        <f>SUM(Z58:Z60)</f>
        <v>211445</v>
      </c>
      <c r="AA61" s="194">
        <f>SUM(AA58:AA60)</f>
        <v>280386</v>
      </c>
      <c r="AB61" s="194">
        <f>SUM(AB58:AB60)</f>
        <v>0</v>
      </c>
      <c r="AC61" s="194">
        <f>AB10</f>
        <v>0</v>
      </c>
      <c r="AD61" s="195">
        <f>SUM(AD58:AD60)</f>
        <v>491831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-38056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0</v>
      </c>
      <c r="X62" s="408"/>
      <c r="Y62" s="199" t="s">
        <v>114</v>
      </c>
      <c r="Z62" s="200">
        <f>(Z58/$Z$28+(Z59/$Z$27)+(Z60/$Z$29))</f>
        <v>212027.65087668499</v>
      </c>
      <c r="AA62" s="200">
        <f>(AA58/$Z$28+(AA59/$Z$27)+(AA60/$Z$29))</f>
        <v>281154.07313931797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493181.72401600296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-38056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0</v>
      </c>
      <c r="X63" s="408"/>
      <c r="Y63" s="368" t="s">
        <v>293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-38056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0</v>
      </c>
      <c r="X64" s="408"/>
      <c r="Y64" s="368" t="s">
        <v>303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-38056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0</v>
      </c>
      <c r="X65" s="408"/>
      <c r="Y65" s="371" t="s">
        <v>115</v>
      </c>
      <c r="Z65" s="484"/>
      <c r="AA65" s="203">
        <v>119020</v>
      </c>
      <c r="AB65" s="204"/>
      <c r="AC65" s="204"/>
      <c r="AD65" s="205"/>
      <c r="AE65" s="32">
        <v>108797.23749999999</v>
      </c>
      <c r="AF65" s="53">
        <f>+AA65-AE65</f>
        <v>10222.762500000012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-38056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0</v>
      </c>
      <c r="X66" s="408"/>
      <c r="Y66" s="814" t="s">
        <v>116</v>
      </c>
      <c r="Z66" s="815"/>
      <c r="AA66" s="203">
        <v>123423</v>
      </c>
      <c r="AB66" s="208"/>
      <c r="AC66" s="208"/>
      <c r="AD66" s="209"/>
      <c r="AE66" s="13">
        <v>52014.378240000005</v>
      </c>
      <c r="AF66" s="53">
        <f>+AA66-AE66</f>
        <v>71408.621759999995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-38056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-38056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0</v>
      </c>
      <c r="X68" s="211"/>
      <c r="Y68" s="814" t="s">
        <v>188</v>
      </c>
      <c r="Z68" s="815"/>
      <c r="AA68" s="207">
        <f>Z9*Z30+AC61</f>
        <v>491732.18296372186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-38056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-38056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0</v>
      </c>
      <c r="X70" s="211"/>
      <c r="Y70" s="213"/>
      <c r="Z70" s="232">
        <f>+Z61-2200</f>
        <v>209245</v>
      </c>
      <c r="AA70" s="213"/>
      <c r="AB70" s="213"/>
      <c r="AC70" s="213"/>
      <c r="AD70" s="233">
        <v>491197</v>
      </c>
      <c r="AE70" s="233">
        <f>+AD70-(Z61+AA61)</f>
        <v>-634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-38056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-38056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0</v>
      </c>
      <c r="X72" s="211"/>
      <c r="Y72" s="214" t="s">
        <v>47</v>
      </c>
      <c r="Z72" s="215">
        <f>Z8</f>
        <v>41914</v>
      </c>
      <c r="AA72" s="818" t="s">
        <v>118</v>
      </c>
      <c r="AB72" s="818"/>
      <c r="AC72" s="818"/>
      <c r="AD72" s="216">
        <v>0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24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-38056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0</v>
      </c>
      <c r="X73" s="211"/>
      <c r="Y73" s="214" t="s">
        <v>119</v>
      </c>
      <c r="Z73" s="480">
        <f>AD72</f>
        <v>0</v>
      </c>
      <c r="AA73" s="563" t="s">
        <v>120</v>
      </c>
      <c r="AB73" s="563"/>
      <c r="AC73" s="563"/>
      <c r="AD73" s="219">
        <f>24-AD72</f>
        <v>24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21500</v>
      </c>
      <c r="AO73" s="373">
        <f>AN73*AM72/24</f>
        <v>21500</v>
      </c>
      <c r="AP73" s="19">
        <f>21500*AD72/24</f>
        <v>0</v>
      </c>
      <c r="AQ73" s="19">
        <f>21500-AP73</f>
        <v>21500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-38056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564" t="s">
        <v>127</v>
      </c>
      <c r="AK74" s="819"/>
      <c r="AL74" s="819"/>
      <c r="AM74" s="20" t="s">
        <v>232</v>
      </c>
      <c r="AN74" s="19">
        <f>Z79-AN73</f>
        <v>-21500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-38056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0</v>
      </c>
      <c r="X75" s="211"/>
      <c r="Y75" s="564" t="s">
        <v>121</v>
      </c>
      <c r="Z75" s="564" t="s">
        <v>122</v>
      </c>
      <c r="AA75" s="564" t="s">
        <v>123</v>
      </c>
      <c r="AB75" s="820" t="s">
        <v>124</v>
      </c>
      <c r="AC75" s="821"/>
      <c r="AD75" s="822"/>
      <c r="AE75" s="564" t="s">
        <v>125</v>
      </c>
      <c r="AF75" s="564" t="s">
        <v>126</v>
      </c>
      <c r="AG75" s="149"/>
      <c r="AH75" s="564" t="s">
        <v>121</v>
      </c>
      <c r="AI75" s="564"/>
      <c r="AJ75" s="214" t="s">
        <v>7</v>
      </c>
      <c r="AK75" s="236">
        <f>((+AD78-AA78)/$AD$73)*24</f>
        <v>137272</v>
      </c>
      <c r="AL75" s="236">
        <f>AK75</f>
        <v>137272</v>
      </c>
      <c r="AM75" s="20" t="s">
        <v>7</v>
      </c>
      <c r="AN75" s="19">
        <f>AD58</f>
        <v>137272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-38056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0</v>
      </c>
      <c r="X76" s="211"/>
      <c r="Y76" s="564"/>
      <c r="Z76" s="564"/>
      <c r="AA76" s="564"/>
      <c r="AB76" s="564"/>
      <c r="AC76" s="564"/>
      <c r="AD76" s="564"/>
      <c r="AE76" s="564"/>
      <c r="AF76" s="564"/>
      <c r="AG76" s="149"/>
      <c r="AH76" s="564"/>
      <c r="AI76" s="564"/>
      <c r="AJ76" s="214" t="s">
        <v>6</v>
      </c>
      <c r="AK76" s="236">
        <f>((+AD79-AA79)/$AD$73)*24</f>
        <v>336059</v>
      </c>
      <c r="AL76" s="236">
        <f>+AK76</f>
        <v>336059</v>
      </c>
      <c r="AM76" s="464"/>
      <c r="AN76" s="19">
        <f>SUM(AN73:AN75)</f>
        <v>137272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-38056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0</v>
      </c>
      <c r="X77" s="211"/>
      <c r="Y77" s="564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564"/>
      <c r="AI77" s="78"/>
      <c r="AJ77" s="214" t="s">
        <v>8</v>
      </c>
      <c r="AK77" s="236">
        <f>((+AD80-AA80)/$AD$73)*24</f>
        <v>18500</v>
      </c>
      <c r="AL77" s="236">
        <f>AK77</f>
        <v>18500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-38056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0</v>
      </c>
      <c r="X78" s="211"/>
      <c r="Y78" s="214" t="s">
        <v>7</v>
      </c>
      <c r="Z78" s="224"/>
      <c r="AA78" s="225">
        <v>0</v>
      </c>
      <c r="AB78" s="226">
        <f t="shared" ref="AB78:AC80" si="22">+Z58</f>
        <v>44010</v>
      </c>
      <c r="AC78" s="226">
        <f t="shared" si="22"/>
        <v>93262</v>
      </c>
      <c r="AD78" s="226">
        <f>+AB78+AC78+AB58+AC58</f>
        <v>137272</v>
      </c>
      <c r="AE78" s="519">
        <f>+((AD58/24)*$AD$73)+AA78</f>
        <v>137272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491831</v>
      </c>
      <c r="AL78" s="231">
        <f>+SUM(AL75:AL77)</f>
        <v>491831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-38056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0</v>
      </c>
      <c r="X79" s="211"/>
      <c r="Y79" s="214" t="s">
        <v>6</v>
      </c>
      <c r="Z79" s="224"/>
      <c r="AA79" s="225">
        <f>0+0</f>
        <v>0</v>
      </c>
      <c r="AB79" s="226">
        <f t="shared" si="22"/>
        <v>167435</v>
      </c>
      <c r="AC79" s="226">
        <f t="shared" si="22"/>
        <v>168624</v>
      </c>
      <c r="AD79" s="226">
        <f>+AB79+AC79+AB59</f>
        <v>336059</v>
      </c>
      <c r="AE79" s="519">
        <f>+((AD59/24)*$AD$73)+AA79</f>
        <v>336059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v>536741</v>
      </c>
      <c r="AL79" s="481">
        <f>AK79-AK78</f>
        <v>44910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-38056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0</v>
      </c>
      <c r="X80" s="211"/>
      <c r="Y80" s="214" t="s">
        <v>8</v>
      </c>
      <c r="Z80" s="224"/>
      <c r="AA80" s="225">
        <v>0</v>
      </c>
      <c r="AB80" s="226">
        <f t="shared" si="22"/>
        <v>0</v>
      </c>
      <c r="AC80" s="226">
        <f t="shared" si="22"/>
        <v>18500</v>
      </c>
      <c r="AD80" s="226">
        <f>+AB80+AC80</f>
        <v>18500</v>
      </c>
      <c r="AE80" s="519">
        <f>+((AD60/24)*$AD$73)+AA80</f>
        <v>18500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-38056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0</v>
      </c>
      <c r="X81" s="211"/>
      <c r="Y81" s="228" t="s">
        <v>130</v>
      </c>
      <c r="Z81" s="229">
        <f t="shared" ref="Z81:AE81" si="23">SUM(Z78:Z80)</f>
        <v>0</v>
      </c>
      <c r="AA81" s="230">
        <f t="shared" si="23"/>
        <v>0</v>
      </c>
      <c r="AB81" s="229">
        <f t="shared" si="23"/>
        <v>211445</v>
      </c>
      <c r="AC81" s="229">
        <f t="shared" si="23"/>
        <v>280386</v>
      </c>
      <c r="AD81" s="229">
        <f t="shared" si="23"/>
        <v>491831</v>
      </c>
      <c r="AE81" s="229">
        <f t="shared" si="23"/>
        <v>491831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-38056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-38056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0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-38056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-38056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-38056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-38056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-38056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-38056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0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-38056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-38056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-38056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0</v>
      </c>
      <c r="Y92" s="823" t="s">
        <v>158</v>
      </c>
      <c r="Z92" s="489" t="s">
        <v>283</v>
      </c>
      <c r="AA92" s="490" t="e">
        <f>IF(C2:D57="Regulado",VLOOKUP(A2,[1]HeatRate!$A$1:$D$37,4,FALSE),"")</f>
        <v>#VALUE!</v>
      </c>
      <c r="AB92" s="491"/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-38056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0</v>
      </c>
      <c r="Y93" s="824"/>
      <c r="Z93" s="492" t="s">
        <v>284</v>
      </c>
      <c r="AA93" s="493"/>
      <c r="AB93" s="494"/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-38056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0</v>
      </c>
      <c r="Y94" s="824"/>
      <c r="Z94" s="492" t="s">
        <v>80</v>
      </c>
      <c r="AA94" s="493"/>
      <c r="AB94" s="494"/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-38056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0</v>
      </c>
      <c r="Y95" s="824"/>
      <c r="Z95" s="492" t="s">
        <v>285</v>
      </c>
      <c r="AA95" s="493"/>
      <c r="AB95" s="494"/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-38056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0</v>
      </c>
      <c r="Y96" s="824"/>
      <c r="Z96" s="495" t="s">
        <v>286</v>
      </c>
      <c r="AA96" s="496"/>
      <c r="AB96" s="497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-38056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0</v>
      </c>
      <c r="Y97" s="825" t="s">
        <v>154</v>
      </c>
      <c r="Z97" s="489" t="s">
        <v>283</v>
      </c>
      <c r="AA97" s="498"/>
      <c r="AB97" s="499"/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-38056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0</v>
      </c>
      <c r="Y98" s="826"/>
      <c r="Z98" s="492" t="s">
        <v>284</v>
      </c>
      <c r="AA98" s="500"/>
      <c r="AB98" s="501"/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-38056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0</v>
      </c>
      <c r="Y99" s="826"/>
      <c r="Z99" s="492" t="s">
        <v>80</v>
      </c>
      <c r="AA99" s="500"/>
      <c r="AB99" s="501"/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-38056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0</v>
      </c>
      <c r="Y100" s="826"/>
      <c r="Z100" s="492" t="s">
        <v>285</v>
      </c>
      <c r="AA100" s="500"/>
      <c r="AB100" s="501"/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-38056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0</v>
      </c>
      <c r="Y101" s="827"/>
      <c r="Z101" s="4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-38056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0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-38056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0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170435</v>
      </c>
      <c r="I105" s="252">
        <f>+SUM(I2:I103)</f>
        <v>44666</v>
      </c>
      <c r="J105" s="252">
        <f>+SUM(J2:J103)</f>
        <v>34400</v>
      </c>
      <c r="K105" s="252">
        <f>SUM(K2:K103)</f>
        <v>249501</v>
      </c>
      <c r="L105" s="253">
        <f>+L103</f>
        <v>-38056</v>
      </c>
      <c r="M105" s="252">
        <f>SUM(M2:M103)</f>
        <v>0</v>
      </c>
      <c r="N105" s="252">
        <f>SUM(N2:N103)</f>
        <v>249501</v>
      </c>
      <c r="O105" s="252"/>
      <c r="P105" s="252">
        <f>SUM(P2:P103)</f>
        <v>0</v>
      </c>
      <c r="Q105" s="252">
        <f>SUM(Q2:Q103)</f>
        <v>0</v>
      </c>
      <c r="R105" s="252">
        <f>SUM(R2:R103)</f>
        <v>-38056</v>
      </c>
      <c r="S105" s="252">
        <f>SUM(S2:S103)</f>
        <v>167435</v>
      </c>
      <c r="T105" s="252">
        <f>+SUM(T2:T103)</f>
        <v>44010</v>
      </c>
      <c r="U105" s="252">
        <f>SUM(U2:U103)</f>
        <v>0</v>
      </c>
      <c r="V105" s="252">
        <f>SUM(V2:V103)</f>
        <v>211445</v>
      </c>
      <c r="W105" s="254">
        <f>+W103</f>
        <v>0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>
        <v>167614</v>
      </c>
      <c r="I106" s="257">
        <v>27339</v>
      </c>
      <c r="J106" s="258"/>
      <c r="K106" s="119"/>
      <c r="M106" s="259"/>
      <c r="N106" s="259"/>
      <c r="O106" s="259"/>
      <c r="P106" s="259">
        <f>J93-8783</f>
        <v>-8783</v>
      </c>
      <c r="S106" s="119">
        <v>131959</v>
      </c>
      <c r="T106" s="116">
        <v>78079</v>
      </c>
      <c r="W106" s="119"/>
      <c r="Y106" s="830"/>
      <c r="Z106" s="4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257">
        <f>H106-H105</f>
        <v>-2821</v>
      </c>
      <c r="I107" s="257">
        <f>I106-I105</f>
        <v>-17327</v>
      </c>
      <c r="J107" s="257"/>
      <c r="K107" s="119">
        <f>+K105-2200</f>
        <v>247301</v>
      </c>
      <c r="L107" s="116"/>
      <c r="M107" s="259"/>
      <c r="N107" s="259"/>
      <c r="O107" s="259"/>
      <c r="P107" s="259"/>
      <c r="Q107" s="116"/>
      <c r="R107" s="116"/>
      <c r="S107" s="119">
        <f>S106-S105</f>
        <v>-35476</v>
      </c>
      <c r="T107" s="119">
        <f>T106-T105</f>
        <v>34069</v>
      </c>
      <c r="U107" s="116">
        <v>677</v>
      </c>
      <c r="V107" s="119">
        <f>+V51-U107</f>
        <v>13667</v>
      </c>
      <c r="W107" s="119"/>
      <c r="Y107" s="502" t="s">
        <v>289</v>
      </c>
      <c r="Z107" s="503" t="s">
        <v>289</v>
      </c>
      <c r="AA107" s="504"/>
      <c r="AB107" s="505"/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>
        <f>20500+H107</f>
        <v>17679</v>
      </c>
      <c r="I108" s="257"/>
      <c r="J108" s="258"/>
      <c r="K108" s="119"/>
      <c r="L108" s="116"/>
      <c r="M108" s="259"/>
      <c r="N108" s="259"/>
      <c r="O108" s="259"/>
      <c r="P108" s="259"/>
      <c r="Q108" s="116"/>
      <c r="R108" s="116"/>
      <c r="S108" s="119"/>
      <c r="T108" s="116"/>
      <c r="U108" s="116"/>
      <c r="V108" s="121">
        <v>7</v>
      </c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/>
      <c r="I109" s="257"/>
      <c r="J109" s="260"/>
      <c r="K109" s="119"/>
      <c r="L109" s="119"/>
      <c r="M109" s="259"/>
      <c r="N109" s="259"/>
      <c r="O109" s="259"/>
      <c r="P109" s="259"/>
      <c r="Q109" s="116"/>
      <c r="R109" s="116"/>
      <c r="S109" s="119"/>
      <c r="T109" s="116"/>
      <c r="U109" s="116"/>
      <c r="V109" s="119">
        <f>+V107*V108</f>
        <v>95669</v>
      </c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/>
      <c r="I110" s="260"/>
      <c r="J110" s="260"/>
      <c r="K110" s="119"/>
      <c r="L110" s="116"/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260"/>
      <c r="I111" s="260"/>
      <c r="J111" s="260"/>
      <c r="K111" s="265"/>
      <c r="L111" s="116"/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111892</v>
      </c>
      <c r="J115" s="274">
        <f>SUM(H2:H5)+H14+SUM(H30:H32)+H35+18820</f>
        <v>34221</v>
      </c>
      <c r="K115" s="845">
        <f t="shared" ref="K115:K123" si="28">I115-J115</f>
        <v>77671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3000</v>
      </c>
      <c r="J116" s="275">
        <f>I116+0</f>
        <v>3000</v>
      </c>
      <c r="K116" s="839">
        <f t="shared" si="28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126488</v>
      </c>
      <c r="J117" s="275">
        <f>I117</f>
        <v>126488</v>
      </c>
      <c r="K117" s="839">
        <f t="shared" si="28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28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28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82452</v>
      </c>
      <c r="J120" s="275">
        <f>I120</f>
        <v>82452</v>
      </c>
      <c r="K120" s="839">
        <f t="shared" si="28"/>
        <v>0</v>
      </c>
      <c r="L120" s="840"/>
      <c r="AJ120" s="109" t="s">
        <v>155</v>
      </c>
      <c r="AK120" s="236">
        <v>169523</v>
      </c>
    </row>
    <row r="121" spans="1:40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109</v>
      </c>
      <c r="J121" s="275">
        <f>I121+0</f>
        <v>109</v>
      </c>
      <c r="K121" s="839">
        <f t="shared" si="28"/>
        <v>0</v>
      </c>
      <c r="L121" s="840"/>
      <c r="AJ121" s="354" t="s">
        <v>135</v>
      </c>
      <c r="AK121" s="355">
        <v>173236</v>
      </c>
    </row>
    <row r="122" spans="1:40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4716</v>
      </c>
      <c r="J122" s="277">
        <f>SUM(I15:I24)+SUM(I38:I43)+4379</f>
        <v>4716</v>
      </c>
      <c r="K122" s="839">
        <f t="shared" si="28"/>
        <v>0</v>
      </c>
      <c r="L122" s="840"/>
      <c r="M122" s="50"/>
      <c r="N122" s="50"/>
      <c r="O122" s="50"/>
      <c r="P122" s="50"/>
      <c r="AJ122" s="109"/>
      <c r="AK122" s="236"/>
    </row>
    <row r="123" spans="1:40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28"/>
        <v>0</v>
      </c>
      <c r="L123" s="840"/>
      <c r="AJ123" s="354"/>
      <c r="AK123" s="355"/>
    </row>
    <row r="124" spans="1:40" ht="13.5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29">I129-J129</f>
        <v>0</v>
      </c>
      <c r="L129" s="854"/>
    </row>
    <row r="130" spans="1:26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29"/>
        <v>1728</v>
      </c>
      <c r="L130" s="854"/>
    </row>
    <row r="131" spans="1:26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29"/>
        <v>0</v>
      </c>
      <c r="L131" s="854"/>
    </row>
    <row r="132" spans="1:26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29"/>
        <v>6594</v>
      </c>
      <c r="L132" s="854"/>
    </row>
    <row r="133" spans="1:26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29"/>
        <v>0</v>
      </c>
      <c r="L133" s="854"/>
    </row>
    <row r="134" spans="1:26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29"/>
        <v>0</v>
      </c>
      <c r="L134" s="854"/>
    </row>
    <row r="135" spans="1:26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29"/>
        <v>0</v>
      </c>
      <c r="L135" s="854"/>
    </row>
    <row r="136" spans="1:26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29"/>
        <v>0</v>
      </c>
      <c r="L136" s="854"/>
    </row>
    <row r="137" spans="1:26" ht="13.5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29"/>
        <v>262</v>
      </c>
      <c r="L137" s="854"/>
      <c r="X137" s="20"/>
      <c r="Z137" s="20"/>
    </row>
    <row r="138" spans="1:26" ht="15.75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x14ac:dyDescent="0.2">
      <c r="G141" s="864" t="s">
        <v>154</v>
      </c>
      <c r="H141" s="295" t="s">
        <v>28</v>
      </c>
      <c r="I141" s="296">
        <f t="shared" ref="I141:K151" si="30">I115+I128</f>
        <v>111892</v>
      </c>
      <c r="J141" s="296">
        <f t="shared" si="30"/>
        <v>34221</v>
      </c>
      <c r="K141" s="867">
        <f t="shared" si="30"/>
        <v>77671</v>
      </c>
      <c r="L141" s="868"/>
      <c r="X141" s="20"/>
      <c r="Z141" s="20"/>
    </row>
    <row r="142" spans="1:26" x14ac:dyDescent="0.2">
      <c r="C142" s="20"/>
      <c r="F142" s="20"/>
      <c r="G142" s="865"/>
      <c r="H142" s="297" t="s">
        <v>80</v>
      </c>
      <c r="I142" s="298">
        <f t="shared" si="30"/>
        <v>3000</v>
      </c>
      <c r="J142" s="298">
        <f t="shared" si="30"/>
        <v>3000</v>
      </c>
      <c r="K142" s="869">
        <f t="shared" si="30"/>
        <v>0</v>
      </c>
      <c r="L142" s="870"/>
      <c r="X142" s="20"/>
      <c r="Z142" s="20"/>
    </row>
    <row r="143" spans="1:26" x14ac:dyDescent="0.2">
      <c r="G143" s="865"/>
      <c r="H143" s="297" t="s">
        <v>61</v>
      </c>
      <c r="I143" s="298">
        <f t="shared" si="30"/>
        <v>128216</v>
      </c>
      <c r="J143" s="298">
        <f t="shared" si="30"/>
        <v>126488</v>
      </c>
      <c r="K143" s="869">
        <f t="shared" si="30"/>
        <v>1728</v>
      </c>
      <c r="L143" s="870"/>
      <c r="X143" s="20"/>
      <c r="Z143" s="20"/>
    </row>
    <row r="144" spans="1:26" x14ac:dyDescent="0.2">
      <c r="G144" s="865"/>
      <c r="H144" s="297" t="s">
        <v>156</v>
      </c>
      <c r="I144" s="298">
        <f t="shared" si="30"/>
        <v>14000</v>
      </c>
      <c r="J144" s="298">
        <f t="shared" si="30"/>
        <v>14000</v>
      </c>
      <c r="K144" s="869">
        <f t="shared" si="30"/>
        <v>0</v>
      </c>
      <c r="L144" s="870"/>
      <c r="X144" s="20"/>
      <c r="Z144" s="20"/>
    </row>
    <row r="145" spans="3:26" ht="13.5" thickBot="1" x14ac:dyDescent="0.25">
      <c r="G145" s="866"/>
      <c r="H145" s="299" t="s">
        <v>157</v>
      </c>
      <c r="I145" s="300">
        <f t="shared" si="30"/>
        <v>67705</v>
      </c>
      <c r="J145" s="300">
        <f t="shared" si="30"/>
        <v>61111</v>
      </c>
      <c r="K145" s="871">
        <f t="shared" si="30"/>
        <v>6594</v>
      </c>
      <c r="L145" s="872"/>
      <c r="X145" s="20"/>
      <c r="Z145" s="20"/>
    </row>
    <row r="146" spans="3:26" x14ac:dyDescent="0.2">
      <c r="G146" s="879" t="s">
        <v>158</v>
      </c>
      <c r="H146" s="295" t="s">
        <v>28</v>
      </c>
      <c r="I146" s="296">
        <f t="shared" si="30"/>
        <v>82467</v>
      </c>
      <c r="J146" s="296">
        <f t="shared" si="30"/>
        <v>82467</v>
      </c>
      <c r="K146" s="867">
        <f t="shared" si="30"/>
        <v>0</v>
      </c>
      <c r="L146" s="868"/>
      <c r="X146" s="20"/>
      <c r="Z146" s="20"/>
    </row>
    <row r="147" spans="3:26" x14ac:dyDescent="0.2">
      <c r="G147" s="880"/>
      <c r="H147" s="297" t="s">
        <v>80</v>
      </c>
      <c r="I147" s="301">
        <f t="shared" si="30"/>
        <v>109</v>
      </c>
      <c r="J147" s="301">
        <f t="shared" si="30"/>
        <v>109</v>
      </c>
      <c r="K147" s="869">
        <f t="shared" si="30"/>
        <v>0</v>
      </c>
      <c r="L147" s="870"/>
      <c r="X147" s="20"/>
      <c r="Z147" s="20"/>
    </row>
    <row r="148" spans="3:26" x14ac:dyDescent="0.2">
      <c r="G148" s="880"/>
      <c r="H148" s="297" t="s">
        <v>61</v>
      </c>
      <c r="I148" s="301">
        <f t="shared" si="30"/>
        <v>4716</v>
      </c>
      <c r="J148" s="301">
        <f t="shared" si="30"/>
        <v>4716</v>
      </c>
      <c r="K148" s="869">
        <f t="shared" si="30"/>
        <v>0</v>
      </c>
      <c r="L148" s="870"/>
      <c r="X148" s="20"/>
      <c r="Z148" s="20"/>
    </row>
    <row r="149" spans="3:26" x14ac:dyDescent="0.2">
      <c r="G149" s="880"/>
      <c r="H149" s="297" t="s">
        <v>156</v>
      </c>
      <c r="I149" s="301">
        <f t="shared" si="30"/>
        <v>38756</v>
      </c>
      <c r="J149" s="301">
        <f t="shared" si="30"/>
        <v>38756</v>
      </c>
      <c r="K149" s="869">
        <f t="shared" si="30"/>
        <v>0</v>
      </c>
      <c r="L149" s="870"/>
      <c r="X149" s="20"/>
      <c r="Z149" s="20"/>
    </row>
    <row r="150" spans="3:26" ht="13.5" thickBot="1" x14ac:dyDescent="0.25">
      <c r="G150" s="881"/>
      <c r="H150" s="299" t="s">
        <v>157</v>
      </c>
      <c r="I150" s="302">
        <f t="shared" si="30"/>
        <v>1700</v>
      </c>
      <c r="J150" s="302">
        <f t="shared" si="30"/>
        <v>1438</v>
      </c>
      <c r="K150" s="871">
        <f t="shared" si="30"/>
        <v>262</v>
      </c>
      <c r="L150" s="872"/>
      <c r="X150" s="20"/>
      <c r="Z150" s="20"/>
    </row>
    <row r="151" spans="3:26" ht="15.75" thickBot="1" x14ac:dyDescent="0.25">
      <c r="G151" s="847" t="s">
        <v>162</v>
      </c>
      <c r="H151" s="873"/>
      <c r="I151" s="303">
        <f t="shared" si="30"/>
        <v>300000</v>
      </c>
      <c r="J151" s="303">
        <f t="shared" si="30"/>
        <v>108136</v>
      </c>
      <c r="K151" s="874">
        <f>I151-J151</f>
        <v>191864</v>
      </c>
      <c r="L151" s="873"/>
      <c r="X151" s="20"/>
      <c r="Z151" s="20"/>
    </row>
    <row r="152" spans="3:26" ht="15.75" thickBot="1" x14ac:dyDescent="0.3">
      <c r="G152" s="875" t="s">
        <v>163</v>
      </c>
      <c r="H152" s="876"/>
      <c r="I152" s="304">
        <f>SUM(I141:I150)</f>
        <v>452561</v>
      </c>
      <c r="J152" s="304">
        <f>SUM(J141:J150)</f>
        <v>366306</v>
      </c>
      <c r="K152" s="877">
        <f>SUM(K141:L150)</f>
        <v>86255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J156" s="307">
        <v>28391</v>
      </c>
      <c r="Q156" s="20">
        <v>8815</v>
      </c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H158" s="307" t="s">
        <v>249</v>
      </c>
      <c r="I158" s="307">
        <v>20500</v>
      </c>
      <c r="J158" s="18">
        <f>I158/I162</f>
        <v>0.46345488662310946</v>
      </c>
      <c r="L158" s="80">
        <f>J156*$J$158</f>
        <v>13157.9476861167</v>
      </c>
      <c r="N158" s="20" t="s">
        <v>256</v>
      </c>
      <c r="P158" s="20">
        <v>360</v>
      </c>
      <c r="Q158" s="20">
        <v>4733</v>
      </c>
      <c r="R158" s="18">
        <f>Q158/Q162</f>
        <v>0.34464428748270587</v>
      </c>
      <c r="S158" s="18"/>
      <c r="T158" s="80">
        <f>Q156*R158</f>
        <v>3038.0393941600523</v>
      </c>
      <c r="X158" s="20"/>
      <c r="Z158" s="20"/>
    </row>
    <row r="159" spans="3:26" x14ac:dyDescent="0.2">
      <c r="C159" s="20"/>
      <c r="F159" s="20"/>
      <c r="H159" s="307" t="s">
        <v>250</v>
      </c>
      <c r="I159" s="307">
        <v>13733</v>
      </c>
      <c r="J159" s="18">
        <f>I159/I162</f>
        <v>0.31046955892659328</v>
      </c>
      <c r="L159" s="80">
        <f>J156*$J$159</f>
        <v>8814.541247484909</v>
      </c>
      <c r="P159" s="20">
        <v>361</v>
      </c>
      <c r="Q159" s="20">
        <v>1500</v>
      </c>
      <c r="R159" s="18">
        <f>Q159/Q162</f>
        <v>0.10922595208621569</v>
      </c>
      <c r="S159" s="18"/>
      <c r="T159" s="80">
        <f>Q156*R159</f>
        <v>962.82676763999132</v>
      </c>
      <c r="X159" s="20"/>
      <c r="Z159" s="20"/>
    </row>
    <row r="160" spans="3:26" x14ac:dyDescent="0.2">
      <c r="C160" s="20"/>
      <c r="F160" s="20"/>
      <c r="H160" s="307" t="s">
        <v>251</v>
      </c>
      <c r="I160" s="307">
        <v>10000</v>
      </c>
      <c r="J160" s="18">
        <f>I160/I162</f>
        <v>0.22607555445029728</v>
      </c>
      <c r="L160" s="80">
        <f>J156*$J$160</f>
        <v>6418.5110663983905</v>
      </c>
      <c r="P160" s="20">
        <v>363</v>
      </c>
      <c r="Q160" s="20">
        <v>7500</v>
      </c>
      <c r="R160" s="18">
        <f>Q160/Q162</f>
        <v>0.54612976043107841</v>
      </c>
      <c r="S160" s="18"/>
      <c r="T160" s="80">
        <f>Q156*R160</f>
        <v>4814.1338381999558</v>
      </c>
      <c r="X160" s="20"/>
      <c r="Z160" s="20"/>
    </row>
    <row r="161" spans="3:26" x14ac:dyDescent="0.2">
      <c r="C161" s="20"/>
      <c r="F161" s="20"/>
      <c r="J161" s="20"/>
      <c r="X161" s="20"/>
      <c r="Z161" s="20"/>
    </row>
    <row r="162" spans="3:26" x14ac:dyDescent="0.2">
      <c r="C162" s="20"/>
      <c r="F162" s="20"/>
      <c r="I162" s="307">
        <f>SUM(I158:I160)</f>
        <v>44233</v>
      </c>
      <c r="J162" s="20"/>
      <c r="Q162" s="20">
        <f>SUM(Q158:Q160)</f>
        <v>13733</v>
      </c>
      <c r="X162" s="20"/>
      <c r="Z162" s="20"/>
    </row>
    <row r="163" spans="3:26" x14ac:dyDescent="0.2">
      <c r="C163" s="20"/>
      <c r="F163" s="20"/>
      <c r="J163" s="20"/>
      <c r="X163" s="20"/>
      <c r="Z163" s="20"/>
    </row>
    <row r="164" spans="3:26" x14ac:dyDescent="0.2">
      <c r="C164" s="20"/>
      <c r="F164" s="20"/>
      <c r="J164" s="20"/>
      <c r="X164" s="20"/>
      <c r="Z164" s="20"/>
    </row>
    <row r="165" spans="3:26" x14ac:dyDescent="0.2">
      <c r="C165" s="20"/>
      <c r="F165" s="20"/>
      <c r="H165" s="458"/>
      <c r="I165" s="459" t="s">
        <v>252</v>
      </c>
      <c r="J165" s="78">
        <v>14260</v>
      </c>
      <c r="K165" s="78"/>
      <c r="P165" s="20" t="s">
        <v>254</v>
      </c>
      <c r="Q165" s="20">
        <v>6506</v>
      </c>
      <c r="X165" s="20"/>
      <c r="Z165" s="20"/>
    </row>
    <row r="166" spans="3:26" x14ac:dyDescent="0.2">
      <c r="C166" s="20"/>
      <c r="F166" s="20"/>
      <c r="H166" s="458" t="s">
        <v>253</v>
      </c>
      <c r="J166" s="20"/>
      <c r="N166" s="20" t="s">
        <v>255</v>
      </c>
      <c r="X166" s="20"/>
      <c r="Z166" s="20"/>
    </row>
    <row r="167" spans="3:26" x14ac:dyDescent="0.2">
      <c r="C167" s="20"/>
      <c r="F167" s="20"/>
      <c r="H167" s="458">
        <v>355</v>
      </c>
      <c r="I167" s="307">
        <v>5205</v>
      </c>
      <c r="J167" s="18">
        <f>I167/I170</f>
        <v>0.22430510665804784</v>
      </c>
      <c r="K167" s="80">
        <f>J165*J167</f>
        <v>3198.5908209437621</v>
      </c>
      <c r="N167" s="20">
        <v>364</v>
      </c>
      <c r="P167" s="20">
        <v>3600</v>
      </c>
      <c r="Q167" s="461">
        <f>P167/P170</f>
        <v>0.34003967129498441</v>
      </c>
      <c r="R167" s="80">
        <f>Q165*Q167</f>
        <v>2212.2981014451684</v>
      </c>
      <c r="X167" s="20"/>
      <c r="Z167" s="20"/>
    </row>
    <row r="168" spans="3:26" x14ac:dyDescent="0.2">
      <c r="C168" s="20"/>
      <c r="F168" s="20"/>
      <c r="H168" s="458">
        <v>356</v>
      </c>
      <c r="I168" s="307">
        <v>18000</v>
      </c>
      <c r="J168" s="18">
        <f>I168/I170</f>
        <v>0.77569489334195219</v>
      </c>
      <c r="K168" s="80">
        <f>J165*J168</f>
        <v>11061.409179056238</v>
      </c>
      <c r="N168" s="20">
        <v>365</v>
      </c>
      <c r="P168" s="20">
        <v>6000</v>
      </c>
      <c r="Q168" s="461">
        <f>P168/P170</f>
        <v>0.56673278549164074</v>
      </c>
      <c r="R168" s="80">
        <f>Q165*Q168</f>
        <v>3687.1635024086145</v>
      </c>
      <c r="X168" s="20"/>
      <c r="Z168" s="20"/>
    </row>
    <row r="169" spans="3:26" x14ac:dyDescent="0.2">
      <c r="C169" s="20"/>
      <c r="F169" s="20"/>
      <c r="H169" s="460"/>
      <c r="J169" s="20"/>
      <c r="N169" s="20" t="s">
        <v>257</v>
      </c>
      <c r="P169" s="20">
        <v>987</v>
      </c>
      <c r="Q169" s="461">
        <f>P169/P170</f>
        <v>9.3227543213374897E-2</v>
      </c>
      <c r="R169" s="80">
        <f>Q165*Q169</f>
        <v>606.53839614621711</v>
      </c>
      <c r="X169" s="20"/>
      <c r="Z169" s="20"/>
    </row>
    <row r="170" spans="3:26" x14ac:dyDescent="0.2">
      <c r="C170" s="20"/>
      <c r="F170" s="20"/>
      <c r="H170" s="458"/>
      <c r="I170" s="458">
        <f>SUM(I167:I168)</f>
        <v>23205</v>
      </c>
      <c r="J170" s="78"/>
      <c r="K170" s="78"/>
      <c r="P170" s="20">
        <f>SUM(P167:P169)</f>
        <v>10587</v>
      </c>
      <c r="X170" s="20"/>
      <c r="Z170" s="20"/>
    </row>
    <row r="171" spans="3:26" ht="15" x14ac:dyDescent="0.25">
      <c r="C171" s="20"/>
      <c r="F171" s="20"/>
      <c r="G171" s="305"/>
      <c r="H171" s="306"/>
      <c r="J171" s="20"/>
      <c r="X171" s="20"/>
      <c r="Z171" s="20"/>
    </row>
    <row r="172" spans="3:26" x14ac:dyDescent="0.2">
      <c r="C172" s="20"/>
      <c r="F172" s="20"/>
      <c r="J172" s="20"/>
      <c r="X172" s="20"/>
      <c r="Z172" s="20"/>
    </row>
    <row r="173" spans="3:26" x14ac:dyDescent="0.2">
      <c r="C173" s="20"/>
      <c r="F173" s="20"/>
      <c r="J173" s="20"/>
      <c r="X173" s="20"/>
      <c r="Z173" s="20"/>
    </row>
  </sheetData>
  <autoFilter ref="A1:AN152">
    <filterColumn colId="27" showButton="0"/>
    <filterColumn colId="28" showButton="0"/>
    <filterColumn colId="29" showButton="0"/>
  </autoFilter>
  <mergeCells count="87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A113:A114"/>
    <mergeCell ref="B113:B114"/>
    <mergeCell ref="G113:H113"/>
    <mergeCell ref="I113:L113"/>
    <mergeCell ref="K114:L114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G125:H125"/>
    <mergeCell ref="K125:L125"/>
    <mergeCell ref="G126:H126"/>
    <mergeCell ref="I126:L126"/>
    <mergeCell ref="K127:L127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</mergeCells>
  <conditionalFormatting sqref="AA78">
    <cfRule type="cellIs" dxfId="204" priority="3" operator="lessThan">
      <formula>$AA$78</formula>
    </cfRule>
    <cfRule type="cellIs" dxfId="203" priority="5" operator="greaterThan">
      <formula>$AE$78</formula>
    </cfRule>
  </conditionalFormatting>
  <conditionalFormatting sqref="AA79">
    <cfRule type="cellIs" dxfId="202" priority="4" operator="greaterThan">
      <formula>$AE$79</formula>
    </cfRule>
  </conditionalFormatting>
  <conditionalFormatting sqref="AA80">
    <cfRule type="cellIs" dxfId="201" priority="2" operator="greaterThan">
      <formula>$AE$79</formula>
    </cfRule>
  </conditionalFormatting>
  <conditionalFormatting sqref="AU4:AU23">
    <cfRule type="cellIs" dxfId="200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00B0F0"/>
  </sheetPr>
  <dimension ref="A1:AU173"/>
  <sheetViews>
    <sheetView topLeftCell="P1" zoomScale="90" zoomScaleNormal="90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208402</v>
      </c>
      <c r="M2" s="29"/>
      <c r="N2" s="798">
        <f>SUM(K2:K26)</f>
        <v>223727</v>
      </c>
      <c r="O2" s="30">
        <f>+K2/$N$2</f>
        <v>1.3409199604875586E-2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208402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566" t="s">
        <v>31</v>
      </c>
      <c r="AE2" s="566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207302</v>
      </c>
      <c r="M3" s="29"/>
      <c r="N3" s="799"/>
      <c r="O3" s="30">
        <f t="shared" ref="O3:O29" si="2">+K3/$N$2</f>
        <v>4.9167065217877145E-3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207302</v>
      </c>
      <c r="X3" s="32">
        <f t="shared" ref="X3:X56" si="9">W3-L3</f>
        <v>0</v>
      </c>
      <c r="Y3" s="37" t="s">
        <v>34</v>
      </c>
      <c r="Z3" s="38">
        <f>ROUND((Z13*57%),0)</f>
        <v>281010</v>
      </c>
      <c r="AA3" s="39">
        <f>ROUND((+Z14*0.57),0)</f>
        <v>280230</v>
      </c>
      <c r="AB3" s="454">
        <v>87410</v>
      </c>
      <c r="AC3" s="455">
        <v>165761</v>
      </c>
      <c r="AD3" s="40">
        <f>AA3-AB3-AC3+41</f>
        <v>27100</v>
      </c>
      <c r="AE3" s="41">
        <f>SUM(AB3:AD3)</f>
        <v>280271</v>
      </c>
      <c r="AF3" s="41">
        <f>AA3-AE3</f>
        <v>-41</v>
      </c>
      <c r="AG3" s="42">
        <f>AA3-AB3-AC3-AD3</f>
        <v>-41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184902</v>
      </c>
      <c r="M4" s="29"/>
      <c r="N4" s="799"/>
      <c r="O4" s="30">
        <f t="shared" si="2"/>
        <v>0.10012202371640437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184902</v>
      </c>
      <c r="X4" s="32">
        <f t="shared" si="9"/>
        <v>0</v>
      </c>
      <c r="Y4" s="37" t="s">
        <v>38</v>
      </c>
      <c r="Z4" s="38">
        <f>ROUND((Z13*43%),0)</f>
        <v>211990</v>
      </c>
      <c r="AA4" s="39">
        <f>ROUND((+Z14*0.43),0)</f>
        <v>211402</v>
      </c>
      <c r="AB4" s="43">
        <f>T105</f>
        <v>46958</v>
      </c>
      <c r="AC4" s="43">
        <f>S105</f>
        <v>164444</v>
      </c>
      <c r="AD4" s="40">
        <f>U105</f>
        <v>0</v>
      </c>
      <c r="AE4" s="41">
        <f>SUM(AB4:AD4)</f>
        <v>211402</v>
      </c>
      <c r="AF4" s="41">
        <f>AA4-AE4</f>
        <v>0</v>
      </c>
      <c r="AG4" s="42">
        <f>AA4-AB4-AC4-AD4</f>
        <v>0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183702</v>
      </c>
      <c r="M5" s="29"/>
      <c r="N5" s="799"/>
      <c r="O5" s="30">
        <f t="shared" si="2"/>
        <v>5.363679841950234E-3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183702</v>
      </c>
      <c r="X5" s="32">
        <f t="shared" si="9"/>
        <v>0</v>
      </c>
      <c r="Y5" s="44" t="s">
        <v>41</v>
      </c>
      <c r="Z5" s="38">
        <f>SUM(Z3:Z4)</f>
        <v>493000</v>
      </c>
      <c r="AA5" s="45">
        <f>SUM(AA3:AA4)</f>
        <v>491632</v>
      </c>
      <c r="AB5" s="46">
        <f>SUM(AB3:AB4)</f>
        <v>134368</v>
      </c>
      <c r="AC5" s="41">
        <f>SUM(AC3:AC4)</f>
        <v>330205</v>
      </c>
      <c r="AD5" s="40">
        <f>SUM(AD3:AD4)</f>
        <v>27100</v>
      </c>
      <c r="AE5" s="41">
        <f>SUM(AB5:AD5)</f>
        <v>491673</v>
      </c>
      <c r="AF5" s="47">
        <f>SUM(AF3:AF4)</f>
        <v>-41</v>
      </c>
      <c r="AG5" s="47">
        <f>SUM(AG3:AG4)</f>
        <v>-41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171702</v>
      </c>
      <c r="M6" s="29"/>
      <c r="N6" s="799"/>
      <c r="O6" s="30">
        <f t="shared" si="2"/>
        <v>5.3636798419502342E-2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171702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v>130500</v>
      </c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12370+1796</f>
        <v>14166</v>
      </c>
      <c r="I7" s="518">
        <f>800+2430+604</f>
        <v>3834</v>
      </c>
      <c r="J7" s="26"/>
      <c r="K7" s="27">
        <f t="shared" si="0"/>
        <v>18000</v>
      </c>
      <c r="L7" s="28">
        <f t="shared" si="1"/>
        <v>153702</v>
      </c>
      <c r="M7" s="29"/>
      <c r="N7" s="799"/>
      <c r="O7" s="30">
        <f t="shared" si="2"/>
        <v>8.0455197629253516E-2</v>
      </c>
      <c r="P7" s="802"/>
      <c r="Q7" s="31">
        <f t="shared" si="3"/>
        <v>0</v>
      </c>
      <c r="R7" s="31"/>
      <c r="S7" s="28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153702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151202</v>
      </c>
      <c r="M8" s="29"/>
      <c r="N8" s="799"/>
      <c r="O8" s="30">
        <f t="shared" si="2"/>
        <v>1.1174333004062988E-2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151202</v>
      </c>
      <c r="X8" s="32">
        <f t="shared" si="9"/>
        <v>0</v>
      </c>
      <c r="Y8" s="14" t="s">
        <v>47</v>
      </c>
      <c r="Z8" s="54">
        <v>41915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1185</v>
      </c>
      <c r="I9" s="518">
        <v>1015</v>
      </c>
      <c r="J9" s="26"/>
      <c r="K9" s="27">
        <f t="shared" si="0"/>
        <v>2200</v>
      </c>
      <c r="L9" s="28">
        <f t="shared" si="1"/>
        <v>149002</v>
      </c>
      <c r="M9" s="29"/>
      <c r="N9" s="799"/>
      <c r="O9" s="30">
        <f t="shared" si="2"/>
        <v>9.8334130435754289E-3</v>
      </c>
      <c r="P9" s="802"/>
      <c r="Q9" s="31">
        <f t="shared" si="3"/>
        <v>0</v>
      </c>
      <c r="R9" s="31"/>
      <c r="S9" s="28">
        <f t="shared" si="4"/>
        <v>1185</v>
      </c>
      <c r="T9" s="28">
        <f t="shared" si="5"/>
        <v>1015</v>
      </c>
      <c r="U9" s="28">
        <f t="shared" si="6"/>
        <v>0</v>
      </c>
      <c r="V9" s="28">
        <f t="shared" si="7"/>
        <v>2200</v>
      </c>
      <c r="W9" s="31">
        <f t="shared" si="8"/>
        <v>149002</v>
      </c>
      <c r="X9" s="32">
        <f t="shared" si="9"/>
        <v>0</v>
      </c>
      <c r="Y9" s="14" t="s">
        <v>189</v>
      </c>
      <c r="Z9" s="58">
        <f>493000-AB9</f>
        <v>493000</v>
      </c>
      <c r="AA9" s="59">
        <f>Z9*14.65/14.73</f>
        <v>490322.47114731837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-142900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26"/>
      <c r="J10" s="26"/>
      <c r="K10" s="27">
        <f t="shared" si="0"/>
        <v>20000</v>
      </c>
      <c r="L10" s="28">
        <f t="shared" si="1"/>
        <v>129002</v>
      </c>
      <c r="M10" s="29"/>
      <c r="N10" s="799"/>
      <c r="O10" s="30">
        <f t="shared" si="2"/>
        <v>8.9394664032503901E-2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129002</v>
      </c>
      <c r="X10" s="32">
        <f t="shared" si="9"/>
        <v>0</v>
      </c>
      <c r="Y10" s="14" t="s">
        <v>191</v>
      </c>
      <c r="Z10" s="58">
        <f>ROUND((Z9*Z30),0)</f>
        <v>491632</v>
      </c>
      <c r="AA10" s="59">
        <f>Z10*14.65/14.73</f>
        <v>488961.90088255261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111002</v>
      </c>
      <c r="M11" s="29"/>
      <c r="N11" s="799"/>
      <c r="O11" s="30">
        <f t="shared" si="2"/>
        <v>8.0455197629253516E-2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111002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-69799.999999999985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518">
        <v>3600</v>
      </c>
      <c r="I12" s="26"/>
      <c r="J12" s="26"/>
      <c r="K12" s="27">
        <f t="shared" si="0"/>
        <v>3600</v>
      </c>
      <c r="L12" s="28">
        <f t="shared" si="1"/>
        <v>107402</v>
      </c>
      <c r="M12" s="29"/>
      <c r="N12" s="799"/>
      <c r="O12" s="30">
        <f t="shared" si="2"/>
        <v>1.6091039525850701E-2</v>
      </c>
      <c r="P12" s="802"/>
      <c r="Q12" s="31">
        <f t="shared" si="3"/>
        <v>0</v>
      </c>
      <c r="R12" s="31">
        <v>0</v>
      </c>
      <c r="S12" s="28">
        <f t="shared" si="4"/>
        <v>3600</v>
      </c>
      <c r="T12" s="28">
        <f t="shared" si="5"/>
        <v>0</v>
      </c>
      <c r="U12" s="28">
        <f t="shared" si="6"/>
        <v>0</v>
      </c>
      <c r="V12" s="28">
        <f t="shared" si="7"/>
        <v>3600</v>
      </c>
      <c r="W12" s="31">
        <f t="shared" si="8"/>
        <v>107402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518">
        <v>6000</v>
      </c>
      <c r="I13" s="26"/>
      <c r="J13" s="26"/>
      <c r="K13" s="27">
        <f t="shared" si="0"/>
        <v>6000</v>
      </c>
      <c r="L13" s="28">
        <f t="shared" si="1"/>
        <v>101402</v>
      </c>
      <c r="M13" s="29"/>
      <c r="N13" s="799"/>
      <c r="O13" s="30">
        <f t="shared" si="2"/>
        <v>2.6818399209751171E-2</v>
      </c>
      <c r="P13" s="802"/>
      <c r="Q13" s="31">
        <f t="shared" si="3"/>
        <v>0</v>
      </c>
      <c r="R13" s="31">
        <v>0</v>
      </c>
      <c r="S13" s="28">
        <f t="shared" si="4"/>
        <v>6000</v>
      </c>
      <c r="T13" s="28">
        <f t="shared" si="5"/>
        <v>0</v>
      </c>
      <c r="U13" s="28">
        <f t="shared" si="6"/>
        <v>0</v>
      </c>
      <c r="V13" s="28">
        <f t="shared" si="7"/>
        <v>6000</v>
      </c>
      <c r="W13" s="31">
        <f t="shared" si="8"/>
        <v>101402</v>
      </c>
      <c r="X13" s="32">
        <f t="shared" si="9"/>
        <v>0</v>
      </c>
      <c r="Y13" s="14" t="s">
        <v>67</v>
      </c>
      <c r="Z13" s="67">
        <f>Z14/Z30</f>
        <v>492999.53836433176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14627</v>
      </c>
      <c r="I14" s="26">
        <v>0</v>
      </c>
      <c r="J14" s="26"/>
      <c r="K14" s="27">
        <f t="shared" si="0"/>
        <v>14627</v>
      </c>
      <c r="L14" s="28">
        <f t="shared" si="1"/>
        <v>86775</v>
      </c>
      <c r="M14" s="29"/>
      <c r="N14" s="799"/>
      <c r="O14" s="30">
        <f t="shared" si="2"/>
        <v>6.5378787540171721E-2</v>
      </c>
      <c r="P14" s="802"/>
      <c r="Q14" s="31">
        <f t="shared" si="3"/>
        <v>0</v>
      </c>
      <c r="R14" s="31">
        <v>0</v>
      </c>
      <c r="S14" s="28">
        <f t="shared" si="4"/>
        <v>14627</v>
      </c>
      <c r="T14" s="28">
        <f t="shared" si="5"/>
        <v>0</v>
      </c>
      <c r="U14" s="28">
        <f t="shared" si="6"/>
        <v>0</v>
      </c>
      <c r="V14" s="28">
        <f t="shared" si="7"/>
        <v>14627</v>
      </c>
      <c r="W14" s="31">
        <f t="shared" si="8"/>
        <v>86775</v>
      </c>
      <c r="X14" s="32">
        <f t="shared" si="9"/>
        <v>0</v>
      </c>
      <c r="Y14" s="14" t="s">
        <v>70</v>
      </c>
      <c r="Z14" s="67">
        <f>+Z10-(Z11+Z12)</f>
        <v>491632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69575</v>
      </c>
      <c r="M15" s="29"/>
      <c r="N15" s="799"/>
      <c r="O15" s="30">
        <f t="shared" si="2"/>
        <v>7.687941106795336E-2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69575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49075</v>
      </c>
      <c r="M16" s="29"/>
      <c r="N16" s="799"/>
      <c r="O16" s="30">
        <f t="shared" si="2"/>
        <v>9.1629530633316497E-2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49075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60">
        <v>666</v>
      </c>
      <c r="I17" s="559">
        <v>5000</v>
      </c>
      <c r="J17" s="26"/>
      <c r="K17" s="27">
        <f t="shared" si="0"/>
        <v>5666</v>
      </c>
      <c r="L17" s="28">
        <f t="shared" si="1"/>
        <v>43409</v>
      </c>
      <c r="M17" s="29"/>
      <c r="N17" s="799"/>
      <c r="O17" s="30">
        <f t="shared" si="2"/>
        <v>2.5325508320408356E-2</v>
      </c>
      <c r="P17" s="802"/>
      <c r="Q17" s="31">
        <f t="shared" si="3"/>
        <v>0</v>
      </c>
      <c r="R17" s="31">
        <v>0</v>
      </c>
      <c r="S17" s="28">
        <f t="shared" si="4"/>
        <v>666</v>
      </c>
      <c r="T17" s="28">
        <f t="shared" si="5"/>
        <v>5000</v>
      </c>
      <c r="U17" s="28">
        <f t="shared" si="6"/>
        <v>0</v>
      </c>
      <c r="V17" s="28">
        <f t="shared" si="7"/>
        <v>5666</v>
      </c>
      <c r="W17" s="31">
        <f t="shared" si="8"/>
        <v>43409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45</v>
      </c>
      <c r="H18" s="26"/>
      <c r="I18" s="518">
        <v>334</v>
      </c>
      <c r="J18" s="26"/>
      <c r="K18" s="27">
        <f t="shared" si="0"/>
        <v>334</v>
      </c>
      <c r="L18" s="28">
        <f t="shared" si="1"/>
        <v>43075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334</v>
      </c>
      <c r="U18" s="28">
        <f t="shared" si="6"/>
        <v>0</v>
      </c>
      <c r="V18" s="28">
        <f t="shared" si="7"/>
        <v>334</v>
      </c>
      <c r="W18" s="31">
        <f t="shared" si="8"/>
        <v>43075</v>
      </c>
      <c r="X18" s="32"/>
      <c r="Y18" s="14" t="s">
        <v>77</v>
      </c>
      <c r="Z18" s="71">
        <f>ROUND(Z14*0.43,0)</f>
        <v>211402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559">
        <v>0</v>
      </c>
      <c r="I19" s="26"/>
      <c r="J19" s="26"/>
      <c r="K19" s="27">
        <f t="shared" si="0"/>
        <v>0</v>
      </c>
      <c r="L19" s="28">
        <f t="shared" si="1"/>
        <v>43075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43075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41575</v>
      </c>
      <c r="M20" s="29"/>
      <c r="N20" s="799"/>
      <c r="O20" s="30">
        <f t="shared" si="2"/>
        <v>6.7045998024377928E-3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41575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/>
      <c r="I21" s="26">
        <v>0</v>
      </c>
      <c r="J21" s="26"/>
      <c r="K21" s="27">
        <f t="shared" si="0"/>
        <v>0</v>
      </c>
      <c r="L21" s="28">
        <f t="shared" si="1"/>
        <v>41575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41575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34075</v>
      </c>
      <c r="M22" s="29"/>
      <c r="N22" s="799"/>
      <c r="O22" s="30">
        <f t="shared" si="2"/>
        <v>3.3522999012188963E-2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34075</v>
      </c>
      <c r="X22" s="32">
        <f t="shared" si="9"/>
        <v>0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34075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34075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34075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34075</v>
      </c>
      <c r="X24" s="32">
        <f t="shared" si="9"/>
        <v>0</v>
      </c>
      <c r="Y24" s="74" t="s">
        <v>169</v>
      </c>
      <c r="Z24" s="75">
        <f>+Z18+Z19</f>
        <v>211402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22075</v>
      </c>
      <c r="M25" s="29"/>
      <c r="N25" s="799"/>
      <c r="O25" s="30">
        <f t="shared" si="2"/>
        <v>5.3636798419502342E-2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88" si="11">+W24-V25</f>
        <v>22075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-12325</v>
      </c>
      <c r="M26" s="86"/>
      <c r="N26" s="800"/>
      <c r="O26" s="87">
        <f t="shared" si="2"/>
        <v>0.15375882213590672</v>
      </c>
      <c r="P26" s="803"/>
      <c r="Q26" s="144">
        <f t="shared" si="3"/>
        <v>0</v>
      </c>
      <c r="R26" s="144">
        <v>-34400</v>
      </c>
      <c r="S26" s="423">
        <f t="shared" si="4"/>
        <v>0</v>
      </c>
      <c r="T26" s="423">
        <f t="shared" si="5"/>
        <v>0</v>
      </c>
      <c r="U26" s="423">
        <f t="shared" si="6"/>
        <v>0</v>
      </c>
      <c r="V26" s="423">
        <f t="shared" si="7"/>
        <v>0</v>
      </c>
      <c r="W26" s="31">
        <f t="shared" si="11"/>
        <v>22075</v>
      </c>
      <c r="X26" s="32">
        <f t="shared" si="9"/>
        <v>34400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-12325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1"/>
        <v>22075</v>
      </c>
      <c r="X27" s="32">
        <f t="shared" si="9"/>
        <v>34400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-12325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22075</v>
      </c>
      <c r="X28" s="32">
        <f t="shared" si="9"/>
        <v>34400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-12325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22075</v>
      </c>
      <c r="X29" s="32">
        <f t="shared" si="9"/>
        <v>34400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-12325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22075</v>
      </c>
      <c r="X30" s="32">
        <f t="shared" si="9"/>
        <v>34400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-12325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22075</v>
      </c>
      <c r="X31" s="32">
        <f t="shared" si="9"/>
        <v>34400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-12325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22075</v>
      </c>
      <c r="X32" s="32">
        <f t="shared" si="9"/>
        <v>34400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-12325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22075</v>
      </c>
      <c r="X33" s="32">
        <f t="shared" si="9"/>
        <v>34400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-12325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22075</v>
      </c>
      <c r="X34" s="32">
        <f t="shared" si="9"/>
        <v>34400</v>
      </c>
      <c r="Y34" s="806"/>
      <c r="Z34" s="112">
        <v>100000</v>
      </c>
      <c r="AA34" s="113">
        <f>AD5-Z34</f>
        <v>-72900</v>
      </c>
      <c r="AB34" s="113">
        <f>Z34+AA34</f>
        <v>27100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-12325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22075</v>
      </c>
      <c r="X35" s="32">
        <f>W35-L35</f>
        <v>34400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-12325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22075</v>
      </c>
      <c r="X36" s="32">
        <f t="shared" si="9"/>
        <v>34400</v>
      </c>
      <c r="Y36" s="117" t="s">
        <v>60</v>
      </c>
      <c r="Z36" s="113">
        <f>Z34*57%</f>
        <v>56999.999999999993</v>
      </c>
      <c r="AA36" s="113">
        <f>AD3-Z36</f>
        <v>-29899.999999999993</v>
      </c>
      <c r="AB36" s="113">
        <f>Z36+AA36</f>
        <v>27100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-12325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22075</v>
      </c>
      <c r="X37" s="32">
        <f t="shared" si="9"/>
        <v>34400</v>
      </c>
      <c r="Y37" s="117" t="s">
        <v>94</v>
      </c>
      <c r="Z37" s="113">
        <f>+Z35+Z36</f>
        <v>100000</v>
      </c>
      <c r="AA37" s="113">
        <f>SUM(AA35:AA36)</f>
        <v>-72900</v>
      </c>
      <c r="AB37" s="113">
        <f>Z37+AA37</f>
        <v>27100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26">
        <v>0</v>
      </c>
      <c r="I38" s="26"/>
      <c r="J38" s="26"/>
      <c r="K38" s="27">
        <f t="shared" si="0"/>
        <v>0</v>
      </c>
      <c r="L38" s="28">
        <f>+L37-K38</f>
        <v>-12325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22075</v>
      </c>
      <c r="X38" s="32">
        <f t="shared" si="9"/>
        <v>34400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-12325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22075</v>
      </c>
      <c r="X39" s="32">
        <f t="shared" si="9"/>
        <v>34400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-12325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22075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-12325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22075</v>
      </c>
      <c r="X41" s="32">
        <f t="shared" si="9"/>
        <v>34400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-12325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22075</v>
      </c>
      <c r="X42" s="32">
        <f t="shared" si="9"/>
        <v>34400</v>
      </c>
      <c r="Y42" s="74" t="s">
        <v>96</v>
      </c>
      <c r="Z42" s="75">
        <v>35500</v>
      </c>
      <c r="AA42" s="129">
        <f>+H7+H8+H17+H18+H19+H22+H32+H33+H43+H44+H45+H53</f>
        <v>24832</v>
      </c>
      <c r="AB42" s="129">
        <f>+I7+I8+I17+I18+I19+I22+I32+I33+I43+I44+I45+I53</f>
        <v>9168</v>
      </c>
      <c r="AC42" s="130">
        <f>+AA42+AB42</f>
        <v>34000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-12325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22075</v>
      </c>
      <c r="X43" s="32">
        <f t="shared" si="9"/>
        <v>34400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-12325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22075</v>
      </c>
      <c r="X44" s="32">
        <f t="shared" si="9"/>
        <v>34400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-12325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22075</v>
      </c>
      <c r="X45" s="32">
        <f t="shared" si="9"/>
        <v>34400</v>
      </c>
      <c r="Y45" s="131" t="s">
        <v>98</v>
      </c>
      <c r="Z45" s="132">
        <v>9600</v>
      </c>
      <c r="AA45" s="133">
        <f>+H12+H13+H37+H38</f>
        <v>9600</v>
      </c>
      <c r="AB45" s="133">
        <f>+I12+I13+I37+I38</f>
        <v>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-22325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11"/>
        <v>12075</v>
      </c>
      <c r="X46" s="32">
        <f t="shared" si="9"/>
        <v>34400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-22325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12075</v>
      </c>
      <c r="X47" s="32">
        <f t="shared" si="9"/>
        <v>34400</v>
      </c>
      <c r="Y47" s="57">
        <v>20000</v>
      </c>
      <c r="Z47" s="89">
        <v>4586</v>
      </c>
      <c r="AA47" s="35"/>
      <c r="AB47" s="57">
        <f>57000-AA60</f>
        <v>29900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-22325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12075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-22325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12075</v>
      </c>
      <c r="X49" s="32">
        <f t="shared" si="9"/>
        <v>34400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-22325</v>
      </c>
      <c r="M50" s="95"/>
      <c r="N50" s="804">
        <f>SUM(K50:K55)</f>
        <v>25000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12075</v>
      </c>
      <c r="X50" s="32">
        <f t="shared" si="9"/>
        <v>34400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59">
        <v>15000</v>
      </c>
      <c r="J51" s="26"/>
      <c r="K51" s="444">
        <f t="shared" si="0"/>
        <v>15000</v>
      </c>
      <c r="L51" s="28">
        <f t="shared" si="1"/>
        <v>-37325</v>
      </c>
      <c r="M51" s="234"/>
      <c r="N51" s="799"/>
      <c r="O51" s="184"/>
      <c r="P51" s="802"/>
      <c r="Q51" s="31"/>
      <c r="R51" s="31">
        <v>-7755</v>
      </c>
      <c r="S51" s="422">
        <f t="shared" si="4"/>
        <v>0</v>
      </c>
      <c r="T51" s="28">
        <f t="shared" si="5"/>
        <v>7245</v>
      </c>
      <c r="U51" s="28">
        <f t="shared" si="6"/>
        <v>0</v>
      </c>
      <c r="V51" s="28">
        <f t="shared" si="7"/>
        <v>7245</v>
      </c>
      <c r="W51" s="31">
        <f t="shared" si="11"/>
        <v>4830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-37325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4830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18">
        <v>0</v>
      </c>
      <c r="I53" s="26"/>
      <c r="J53" s="26"/>
      <c r="K53" s="27">
        <f t="shared" si="0"/>
        <v>0</v>
      </c>
      <c r="L53" s="28">
        <f>+L52-K53</f>
        <v>-37325</v>
      </c>
      <c r="M53" s="29"/>
      <c r="N53" s="799"/>
      <c r="O53" s="30">
        <f t="shared" si="12"/>
        <v>0</v>
      </c>
      <c r="P53" s="802"/>
      <c r="Q53" s="97">
        <f t="shared" si="13"/>
        <v>0</v>
      </c>
      <c r="R53" s="31">
        <v>0</v>
      </c>
      <c r="S53" s="28">
        <f t="shared" si="4"/>
        <v>0</v>
      </c>
      <c r="T53" s="28">
        <f t="shared" si="5"/>
        <v>0</v>
      </c>
      <c r="U53" s="28">
        <f t="shared" si="6"/>
        <v>0</v>
      </c>
      <c r="V53" s="28">
        <f t="shared" si="7"/>
        <v>0</v>
      </c>
      <c r="W53" s="31">
        <f t="shared" si="11"/>
        <v>4830</v>
      </c>
      <c r="X53" s="32">
        <f t="shared" si="9"/>
        <v>42155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-37325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4830</v>
      </c>
      <c r="X54" s="32">
        <f t="shared" si="9"/>
        <v>42155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59">
        <v>10000</v>
      </c>
      <c r="J55" s="143"/>
      <c r="K55" s="27">
        <f t="shared" si="0"/>
        <v>10000</v>
      </c>
      <c r="L55" s="28">
        <f t="shared" si="1"/>
        <v>-47325</v>
      </c>
      <c r="M55" s="86"/>
      <c r="N55" s="800"/>
      <c r="O55" s="87">
        <f t="shared" si="12"/>
        <v>1</v>
      </c>
      <c r="P55" s="803"/>
      <c r="Q55" s="97">
        <f t="shared" si="13"/>
        <v>0</v>
      </c>
      <c r="R55" s="31">
        <v>-5170</v>
      </c>
      <c r="S55" s="423">
        <f t="shared" si="4"/>
        <v>0</v>
      </c>
      <c r="T55" s="28">
        <f>IF(I55&lt;&gt;0,+I55+Q55+R55,0)</f>
        <v>4830</v>
      </c>
      <c r="U55" s="423">
        <f t="shared" si="6"/>
        <v>0</v>
      </c>
      <c r="V55" s="423">
        <f>+S55+T55+U55</f>
        <v>4830</v>
      </c>
      <c r="W55" s="31">
        <f t="shared" si="11"/>
        <v>0</v>
      </c>
      <c r="X55" s="119">
        <f t="shared" si="9"/>
        <v>47325</v>
      </c>
      <c r="Y55" s="807">
        <f>Z8</f>
        <v>41915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-47325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0</v>
      </c>
      <c r="X56" s="119">
        <f t="shared" si="9"/>
        <v>47325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-47325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-47325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0</v>
      </c>
      <c r="X58" s="408"/>
      <c r="Y58" s="180" t="s">
        <v>7</v>
      </c>
      <c r="Z58" s="181">
        <f>+AB4</f>
        <v>46958</v>
      </c>
      <c r="AA58" s="182">
        <f>+AB3</f>
        <v>87410</v>
      </c>
      <c r="AB58" s="182">
        <f>Z12</f>
        <v>0</v>
      </c>
      <c r="AC58" s="181">
        <f>AB10</f>
        <v>0</v>
      </c>
      <c r="AD58" s="183">
        <f>SUM(Z58:AC58)</f>
        <v>134368</v>
      </c>
      <c r="AE58" s="185">
        <v>90000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-47325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0</v>
      </c>
      <c r="X59" s="408"/>
      <c r="Y59" s="180" t="s">
        <v>17</v>
      </c>
      <c r="Z59" s="182">
        <f>+AC4</f>
        <v>164444</v>
      </c>
      <c r="AA59" s="182">
        <f>AC3</f>
        <v>165761</v>
      </c>
      <c r="AB59" s="182">
        <f>Z11</f>
        <v>0</v>
      </c>
      <c r="AC59" s="181">
        <v>0</v>
      </c>
      <c r="AD59" s="183">
        <f>SUM(Z59:AC59)</f>
        <v>330205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-61246.666666666686</v>
      </c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-47325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0</v>
      </c>
      <c r="X60" s="408"/>
      <c r="Y60" s="180" t="s">
        <v>112</v>
      </c>
      <c r="Z60" s="181">
        <f>+AD4+AH11</f>
        <v>0</v>
      </c>
      <c r="AA60" s="182">
        <f>+AD3+AH10</f>
        <v>27100</v>
      </c>
      <c r="AB60" s="191">
        <v>0</v>
      </c>
      <c r="AC60" s="181">
        <v>0</v>
      </c>
      <c r="AD60" s="183">
        <f>SUM(Z60:AC60)</f>
        <v>27100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-47325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0</v>
      </c>
      <c r="X61" s="408"/>
      <c r="Y61" s="193" t="s">
        <v>113</v>
      </c>
      <c r="Z61" s="194">
        <f>SUM(Z58:Z60)</f>
        <v>211402</v>
      </c>
      <c r="AA61" s="194">
        <f>SUM(AA58:AA60)</f>
        <v>280271</v>
      </c>
      <c r="AB61" s="194">
        <f>SUM(AB58:AB60)</f>
        <v>0</v>
      </c>
      <c r="AC61" s="194">
        <f>AB10</f>
        <v>0</v>
      </c>
      <c r="AD61" s="195">
        <f>SUM(AD58:AD60)</f>
        <v>491673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-47325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0</v>
      </c>
      <c r="X62" s="408"/>
      <c r="Y62" s="199" t="s">
        <v>114</v>
      </c>
      <c r="Z62" s="200">
        <f>(Z58/$Z$28+(Z59/$Z$27)+(Z60/$Z$29))</f>
        <v>211983.89803048476</v>
      </c>
      <c r="AA62" s="200">
        <f>(AA58/$Z$28+(AA59/$Z$27)+(AA60/$Z$29))</f>
        <v>281041.3725128228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493025.27054330759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-47325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0</v>
      </c>
      <c r="X63" s="408"/>
      <c r="Y63" s="368" t="s">
        <v>293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-47325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0</v>
      </c>
      <c r="X64" s="408"/>
      <c r="Y64" s="368" t="s">
        <v>303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-47325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0</v>
      </c>
      <c r="X65" s="408"/>
      <c r="Y65" s="371" t="s">
        <v>115</v>
      </c>
      <c r="Z65" s="484"/>
      <c r="AA65" s="203">
        <v>118848.56780000002</v>
      </c>
      <c r="AB65" s="204"/>
      <c r="AC65" s="204"/>
      <c r="AD65" s="205"/>
      <c r="AE65" s="32">
        <v>108797.23749999999</v>
      </c>
      <c r="AF65" s="53">
        <f>+AA65-AE65</f>
        <v>10051.330300000031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-47325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0</v>
      </c>
      <c r="X66" s="408"/>
      <c r="Y66" s="814" t="s">
        <v>116</v>
      </c>
      <c r="Z66" s="815"/>
      <c r="AA66" s="203">
        <v>123313.04634</v>
      </c>
      <c r="AB66" s="208"/>
      <c r="AC66" s="208"/>
      <c r="AD66" s="209"/>
      <c r="AE66" s="13">
        <v>52014.378240000005</v>
      </c>
      <c r="AF66" s="53">
        <f>+AA66-AE66</f>
        <v>71298.668099999995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-47325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-47325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0</v>
      </c>
      <c r="X68" s="211"/>
      <c r="Y68" s="814" t="s">
        <v>188</v>
      </c>
      <c r="Z68" s="815"/>
      <c r="AA68" s="207">
        <f>Z9*Z30+AC61</f>
        <v>491632.46035513055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-47325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-47325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0</v>
      </c>
      <c r="X70" s="211"/>
      <c r="Y70" s="213"/>
      <c r="Z70" s="232">
        <f>+Z61-2200</f>
        <v>209202</v>
      </c>
      <c r="AA70" s="213"/>
      <c r="AB70" s="213"/>
      <c r="AC70" s="213"/>
      <c r="AD70" s="233">
        <v>491197</v>
      </c>
      <c r="AE70" s="233">
        <f>+AD70-(Z61+AA61)</f>
        <v>-476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-47325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-47325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0</v>
      </c>
      <c r="X72" s="211"/>
      <c r="Y72" s="214" t="s">
        <v>47</v>
      </c>
      <c r="Z72" s="215">
        <f>Z8</f>
        <v>41915</v>
      </c>
      <c r="AA72" s="818" t="s">
        <v>118</v>
      </c>
      <c r="AB72" s="818"/>
      <c r="AC72" s="818"/>
      <c r="AD72" s="216">
        <v>0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24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-47325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0</v>
      </c>
      <c r="X73" s="211"/>
      <c r="Y73" s="214" t="s">
        <v>119</v>
      </c>
      <c r="Z73" s="480">
        <f>AD72</f>
        <v>0</v>
      </c>
      <c r="AA73" s="567" t="s">
        <v>120</v>
      </c>
      <c r="AB73" s="567"/>
      <c r="AC73" s="567"/>
      <c r="AD73" s="219">
        <f>24-AD72</f>
        <v>24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21500</v>
      </c>
      <c r="AO73" s="373">
        <f>AN73*AM72/24</f>
        <v>21500</v>
      </c>
      <c r="AP73" s="19">
        <f>21500*AD72/24</f>
        <v>0</v>
      </c>
      <c r="AQ73" s="19">
        <f>21500-AP73</f>
        <v>21500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-47325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568" t="s">
        <v>127</v>
      </c>
      <c r="AK74" s="819"/>
      <c r="AL74" s="819"/>
      <c r="AM74" s="20" t="s">
        <v>232</v>
      </c>
      <c r="AN74" s="19">
        <f>Z79-AN73</f>
        <v>-21500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-47325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0</v>
      </c>
      <c r="X75" s="211"/>
      <c r="Y75" s="568" t="s">
        <v>121</v>
      </c>
      <c r="Z75" s="568" t="s">
        <v>122</v>
      </c>
      <c r="AA75" s="568" t="s">
        <v>123</v>
      </c>
      <c r="AB75" s="820" t="s">
        <v>124</v>
      </c>
      <c r="AC75" s="821"/>
      <c r="AD75" s="822"/>
      <c r="AE75" s="568" t="s">
        <v>125</v>
      </c>
      <c r="AF75" s="568" t="s">
        <v>126</v>
      </c>
      <c r="AG75" s="149"/>
      <c r="AH75" s="568" t="s">
        <v>121</v>
      </c>
      <c r="AI75" s="568"/>
      <c r="AJ75" s="214" t="s">
        <v>7</v>
      </c>
      <c r="AK75" s="236">
        <f>((+AD78-AA78)/$AD$73)*24</f>
        <v>134368</v>
      </c>
      <c r="AL75" s="236">
        <f>AK75</f>
        <v>134368</v>
      </c>
      <c r="AM75" s="20" t="s">
        <v>7</v>
      </c>
      <c r="AN75" s="19">
        <f>AD58</f>
        <v>134368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-47325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0</v>
      </c>
      <c r="X76" s="211"/>
      <c r="Y76" s="568"/>
      <c r="Z76" s="568"/>
      <c r="AA76" s="568"/>
      <c r="AB76" s="568"/>
      <c r="AC76" s="568"/>
      <c r="AD76" s="568"/>
      <c r="AE76" s="568"/>
      <c r="AF76" s="568"/>
      <c r="AG76" s="149"/>
      <c r="AH76" s="568"/>
      <c r="AI76" s="568"/>
      <c r="AJ76" s="214" t="s">
        <v>6</v>
      </c>
      <c r="AK76" s="236">
        <f>((+AD79-AA79)/$AD$73)*24</f>
        <v>330205</v>
      </c>
      <c r="AL76" s="236">
        <f>+AK76</f>
        <v>330205</v>
      </c>
      <c r="AM76" s="464"/>
      <c r="AN76" s="19">
        <f>SUM(AN73:AN75)</f>
        <v>134368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-47325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0</v>
      </c>
      <c r="X77" s="211"/>
      <c r="Y77" s="568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568"/>
      <c r="AI77" s="78"/>
      <c r="AJ77" s="214" t="s">
        <v>8</v>
      </c>
      <c r="AK77" s="236">
        <f>((+AD80-AA80)/$AD$73)*24</f>
        <v>27100</v>
      </c>
      <c r="AL77" s="236">
        <f>AK77</f>
        <v>27100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-47325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0</v>
      </c>
      <c r="X78" s="211"/>
      <c r="Y78" s="214" t="s">
        <v>7</v>
      </c>
      <c r="Z78" s="224"/>
      <c r="AA78" s="225">
        <v>0</v>
      </c>
      <c r="AB78" s="226">
        <f t="shared" ref="AB78:AC80" si="22">+Z58</f>
        <v>46958</v>
      </c>
      <c r="AC78" s="226">
        <f t="shared" si="22"/>
        <v>87410</v>
      </c>
      <c r="AD78" s="226">
        <f>+AB78+AC78+AB58+AC58</f>
        <v>134368</v>
      </c>
      <c r="AE78" s="519">
        <f>+((AD58/24)*$AD$73)+AA78</f>
        <v>134368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491673</v>
      </c>
      <c r="AL78" s="231">
        <f>+SUM(AL75:AL77)</f>
        <v>491673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-47325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0</v>
      </c>
      <c r="X79" s="211"/>
      <c r="Y79" s="214" t="s">
        <v>6</v>
      </c>
      <c r="Z79" s="224"/>
      <c r="AA79" s="225">
        <f>0+0</f>
        <v>0</v>
      </c>
      <c r="AB79" s="226">
        <f t="shared" si="22"/>
        <v>164444</v>
      </c>
      <c r="AC79" s="226">
        <f t="shared" si="22"/>
        <v>165761</v>
      </c>
      <c r="AD79" s="226">
        <f>+AB79+AC79+AB59</f>
        <v>330205</v>
      </c>
      <c r="AE79" s="519">
        <f>+((AD59/24)*$AD$73)+AA79</f>
        <v>330205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v>536741</v>
      </c>
      <c r="AL79" s="481">
        <f>AK79-AK78</f>
        <v>45068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-47325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0</v>
      </c>
      <c r="X80" s="211"/>
      <c r="Y80" s="214" t="s">
        <v>8</v>
      </c>
      <c r="Z80" s="224"/>
      <c r="AA80" s="225">
        <v>0</v>
      </c>
      <c r="AB80" s="226">
        <f t="shared" si="22"/>
        <v>0</v>
      </c>
      <c r="AC80" s="226">
        <f t="shared" si="22"/>
        <v>27100</v>
      </c>
      <c r="AD80" s="226">
        <f>+AB80+AC80</f>
        <v>27100</v>
      </c>
      <c r="AE80" s="519">
        <f>+((AD60/24)*$AD$73)+AA80</f>
        <v>27100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-47325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0</v>
      </c>
      <c r="X81" s="211"/>
      <c r="Y81" s="228" t="s">
        <v>130</v>
      </c>
      <c r="Z81" s="229">
        <f t="shared" ref="Z81:AE81" si="23">SUM(Z78:Z80)</f>
        <v>0</v>
      </c>
      <c r="AA81" s="230">
        <f t="shared" si="23"/>
        <v>0</v>
      </c>
      <c r="AB81" s="229">
        <f t="shared" si="23"/>
        <v>211402</v>
      </c>
      <c r="AC81" s="229">
        <f t="shared" si="23"/>
        <v>280271</v>
      </c>
      <c r="AD81" s="229">
        <f t="shared" si="23"/>
        <v>491673</v>
      </c>
      <c r="AE81" s="229">
        <f t="shared" si="23"/>
        <v>491673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-47325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-47325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0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-47325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-47325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-47325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-47325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-47325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-47325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0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-47325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-47325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-47325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0</v>
      </c>
      <c r="Y92" s="823" t="s">
        <v>158</v>
      </c>
      <c r="Z92" s="489" t="s">
        <v>283</v>
      </c>
      <c r="AA92" s="490" t="e">
        <f>IF(C2:D57="Regulado",VLOOKUP(A2,[1]HeatRate!$A$1:$D$37,4,FALSE),"")</f>
        <v>#VALUE!</v>
      </c>
      <c r="AB92" s="491"/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-47325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0</v>
      </c>
      <c r="Y93" s="824"/>
      <c r="Z93" s="492" t="s">
        <v>284</v>
      </c>
      <c r="AA93" s="493"/>
      <c r="AB93" s="494"/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-47325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0</v>
      </c>
      <c r="Y94" s="824"/>
      <c r="Z94" s="492" t="s">
        <v>80</v>
      </c>
      <c r="AA94" s="493"/>
      <c r="AB94" s="494"/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-47325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0</v>
      </c>
      <c r="Y95" s="824"/>
      <c r="Z95" s="492" t="s">
        <v>285</v>
      </c>
      <c r="AA95" s="493"/>
      <c r="AB95" s="494"/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-47325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0</v>
      </c>
      <c r="Y96" s="824"/>
      <c r="Z96" s="495" t="s">
        <v>286</v>
      </c>
      <c r="AA96" s="496"/>
      <c r="AB96" s="497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-47325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0</v>
      </c>
      <c r="Y97" s="825" t="s">
        <v>154</v>
      </c>
      <c r="Z97" s="489" t="s">
        <v>283</v>
      </c>
      <c r="AA97" s="498"/>
      <c r="AB97" s="499"/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-47325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0</v>
      </c>
      <c r="Y98" s="826"/>
      <c r="Z98" s="492" t="s">
        <v>284</v>
      </c>
      <c r="AA98" s="500"/>
      <c r="AB98" s="501"/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-47325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0</v>
      </c>
      <c r="Y99" s="826"/>
      <c r="Z99" s="492" t="s">
        <v>80</v>
      </c>
      <c r="AA99" s="500"/>
      <c r="AB99" s="501"/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-47325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0</v>
      </c>
      <c r="Y100" s="826"/>
      <c r="Z100" s="492" t="s">
        <v>285</v>
      </c>
      <c r="AA100" s="500"/>
      <c r="AB100" s="501"/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-47325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0</v>
      </c>
      <c r="Y101" s="827"/>
      <c r="Z101" s="4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-47325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0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-47325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0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164444</v>
      </c>
      <c r="I105" s="252">
        <f>+SUM(I2:I103)</f>
        <v>59883</v>
      </c>
      <c r="J105" s="252">
        <f>+SUM(J2:J103)</f>
        <v>34400</v>
      </c>
      <c r="K105" s="252">
        <f>SUM(K2:K103)</f>
        <v>258727</v>
      </c>
      <c r="L105" s="253">
        <f>+L103</f>
        <v>-47325</v>
      </c>
      <c r="M105" s="252">
        <f>SUM(M2:M103)</f>
        <v>0</v>
      </c>
      <c r="N105" s="252">
        <f>SUM(N2:N103)</f>
        <v>258727</v>
      </c>
      <c r="O105" s="252"/>
      <c r="P105" s="252">
        <f>SUM(P2:P103)</f>
        <v>0</v>
      </c>
      <c r="Q105" s="252">
        <f>SUM(Q2:Q103)</f>
        <v>0</v>
      </c>
      <c r="R105" s="252">
        <f>SUM(R2:R103)</f>
        <v>-47325</v>
      </c>
      <c r="S105" s="252">
        <f>SUM(S2:S103)</f>
        <v>164444</v>
      </c>
      <c r="T105" s="252">
        <f>+SUM(T2:T103)</f>
        <v>46958</v>
      </c>
      <c r="U105" s="252">
        <f>SUM(U2:U103)</f>
        <v>0</v>
      </c>
      <c r="V105" s="252">
        <f>SUM(V2:V103)</f>
        <v>211402</v>
      </c>
      <c r="W105" s="254">
        <f>+W103</f>
        <v>0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>
        <f>J93-8783</f>
        <v>-8783</v>
      </c>
      <c r="S106" s="119">
        <v>131959</v>
      </c>
      <c r="T106" s="116">
        <v>78079</v>
      </c>
      <c r="W106" s="119"/>
      <c r="Y106" s="830"/>
      <c r="Z106" s="4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575" t="s">
        <v>304</v>
      </c>
      <c r="I107" s="575" t="s">
        <v>150</v>
      </c>
      <c r="J107" s="575" t="s">
        <v>306</v>
      </c>
      <c r="K107" s="576" t="s">
        <v>307</v>
      </c>
      <c r="L107" s="287" t="s">
        <v>308</v>
      </c>
      <c r="M107" s="259"/>
      <c r="N107" s="259"/>
      <c r="O107" s="259"/>
      <c r="P107" s="259"/>
      <c r="Q107" s="116"/>
      <c r="R107" s="116"/>
      <c r="S107" s="119">
        <f>S106-S105</f>
        <v>-32485</v>
      </c>
      <c r="T107" s="119">
        <f>T106-T105</f>
        <v>31121</v>
      </c>
      <c r="U107" s="116">
        <v>677</v>
      </c>
      <c r="V107" s="119">
        <f>+V51-U107</f>
        <v>6568</v>
      </c>
      <c r="W107" s="119"/>
      <c r="Y107" s="502" t="s">
        <v>289</v>
      </c>
      <c r="Z107" s="503" t="s">
        <v>289</v>
      </c>
      <c r="AA107" s="504"/>
      <c r="AB107" s="505"/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 t="s">
        <v>193</v>
      </c>
      <c r="I108" s="257">
        <v>10000</v>
      </c>
      <c r="J108" s="574">
        <f>I108/$I$111</f>
        <v>0.4</v>
      </c>
      <c r="K108" s="119">
        <f>$W$50*J108</f>
        <v>4830</v>
      </c>
      <c r="L108" s="119">
        <f>I108-K108</f>
        <v>5170</v>
      </c>
      <c r="M108" s="259"/>
      <c r="N108" s="259"/>
      <c r="O108" s="259"/>
      <c r="P108" s="259"/>
      <c r="Q108" s="116"/>
      <c r="R108" s="116"/>
      <c r="S108" s="119"/>
      <c r="T108" s="116"/>
      <c r="U108" s="116"/>
      <c r="V108" s="121">
        <v>7</v>
      </c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 t="s">
        <v>239</v>
      </c>
      <c r="I109" s="257">
        <v>15000</v>
      </c>
      <c r="J109" s="574">
        <f t="shared" ref="J109:J111" si="28">I109/$I$111</f>
        <v>0.6</v>
      </c>
      <c r="K109" s="119">
        <f t="shared" ref="K109:K110" si="29">$W$50*J109</f>
        <v>7245</v>
      </c>
      <c r="L109" s="119">
        <f>I109-K109</f>
        <v>7755</v>
      </c>
      <c r="M109" s="259"/>
      <c r="N109" s="259"/>
      <c r="O109" s="259"/>
      <c r="P109" s="259"/>
      <c r="Q109" s="116"/>
      <c r="R109" s="116"/>
      <c r="S109" s="119"/>
      <c r="T109" s="116"/>
      <c r="U109" s="116"/>
      <c r="V109" s="119">
        <f>+V107*V108</f>
        <v>45976</v>
      </c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 t="s">
        <v>305</v>
      </c>
      <c r="I110" s="260">
        <v>0</v>
      </c>
      <c r="J110" s="574">
        <f t="shared" si="28"/>
        <v>0</v>
      </c>
      <c r="K110" s="119">
        <f t="shared" si="29"/>
        <v>0</v>
      </c>
      <c r="L110" s="116"/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573" t="s">
        <v>9</v>
      </c>
      <c r="I111" s="572">
        <f>SUM(I108:I110)</f>
        <v>25000</v>
      </c>
      <c r="J111" s="574">
        <f t="shared" si="28"/>
        <v>1</v>
      </c>
      <c r="K111" s="265">
        <f>SUM(K108:K110)</f>
        <v>12075</v>
      </c>
      <c r="L111" s="119">
        <f>SUM(L108:L110)</f>
        <v>12925</v>
      </c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113898</v>
      </c>
      <c r="J115" s="274">
        <f>SUM(H2:H5)+H14+SUM(H30:H32)+H35+18820</f>
        <v>36447</v>
      </c>
      <c r="K115" s="845">
        <f t="shared" ref="K115:K123" si="30">I115-J115</f>
        <v>77451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0</v>
      </c>
      <c r="J116" s="275">
        <f>I116+0</f>
        <v>0</v>
      </c>
      <c r="K116" s="839">
        <f t="shared" si="30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121491</v>
      </c>
      <c r="J117" s="275">
        <f>I117</f>
        <v>121491</v>
      </c>
      <c r="K117" s="839">
        <f t="shared" si="30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30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30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82672</v>
      </c>
      <c r="J120" s="275">
        <f>I120</f>
        <v>82672</v>
      </c>
      <c r="K120" s="839">
        <f t="shared" si="30"/>
        <v>0</v>
      </c>
      <c r="L120" s="840"/>
      <c r="AJ120" s="109" t="s">
        <v>155</v>
      </c>
      <c r="AK120" s="236">
        <v>169523</v>
      </c>
    </row>
    <row r="121" spans="1:40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10109</v>
      </c>
      <c r="J121" s="275">
        <f>I121+0</f>
        <v>10109</v>
      </c>
      <c r="K121" s="839">
        <f t="shared" si="30"/>
        <v>0</v>
      </c>
      <c r="L121" s="840"/>
      <c r="AJ121" s="354" t="s">
        <v>135</v>
      </c>
      <c r="AK121" s="355">
        <v>173236</v>
      </c>
    </row>
    <row r="122" spans="1:40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9713</v>
      </c>
      <c r="J122" s="277">
        <f>SUM(I15:I24)+SUM(I38:I43)+4379</f>
        <v>9713</v>
      </c>
      <c r="K122" s="839">
        <f t="shared" si="30"/>
        <v>0</v>
      </c>
      <c r="L122" s="840"/>
      <c r="M122" s="50"/>
      <c r="N122" s="50"/>
      <c r="O122" s="50"/>
      <c r="P122" s="50"/>
      <c r="AJ122" s="109"/>
      <c r="AK122" s="236"/>
    </row>
    <row r="123" spans="1:40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30"/>
        <v>0</v>
      </c>
      <c r="L123" s="840"/>
      <c r="AJ123" s="354"/>
      <c r="AK123" s="355"/>
    </row>
    <row r="124" spans="1:40" ht="13.5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31">I129-J129</f>
        <v>0</v>
      </c>
      <c r="L129" s="854"/>
    </row>
    <row r="130" spans="1:26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31"/>
        <v>1728</v>
      </c>
      <c r="L130" s="854"/>
    </row>
    <row r="131" spans="1:26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31"/>
        <v>0</v>
      </c>
      <c r="L131" s="854"/>
    </row>
    <row r="132" spans="1:26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31"/>
        <v>6594</v>
      </c>
      <c r="L132" s="854"/>
    </row>
    <row r="133" spans="1:26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31"/>
        <v>0</v>
      </c>
      <c r="L133" s="854"/>
    </row>
    <row r="134" spans="1:26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31"/>
        <v>0</v>
      </c>
      <c r="L134" s="854"/>
    </row>
    <row r="135" spans="1:26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31"/>
        <v>0</v>
      </c>
      <c r="L135" s="854"/>
    </row>
    <row r="136" spans="1:26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31"/>
        <v>0</v>
      </c>
      <c r="L136" s="854"/>
    </row>
    <row r="137" spans="1:26" ht="13.5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31"/>
        <v>262</v>
      </c>
      <c r="L137" s="854"/>
      <c r="X137" s="20"/>
      <c r="Z137" s="20"/>
    </row>
    <row r="138" spans="1:26" ht="15.75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x14ac:dyDescent="0.2">
      <c r="G141" s="864" t="s">
        <v>154</v>
      </c>
      <c r="H141" s="295" t="s">
        <v>28</v>
      </c>
      <c r="I141" s="296">
        <f t="shared" ref="I141:K151" si="32">I115+I128</f>
        <v>113898</v>
      </c>
      <c r="J141" s="296">
        <f t="shared" si="32"/>
        <v>36447</v>
      </c>
      <c r="K141" s="867">
        <f t="shared" si="32"/>
        <v>77451</v>
      </c>
      <c r="L141" s="868"/>
      <c r="X141" s="20"/>
      <c r="Z141" s="20"/>
    </row>
    <row r="142" spans="1:26" x14ac:dyDescent="0.2">
      <c r="C142" s="20"/>
      <c r="F142" s="20"/>
      <c r="G142" s="865"/>
      <c r="H142" s="297" t="s">
        <v>80</v>
      </c>
      <c r="I142" s="298">
        <f t="shared" si="32"/>
        <v>0</v>
      </c>
      <c r="J142" s="298">
        <f t="shared" si="32"/>
        <v>0</v>
      </c>
      <c r="K142" s="869">
        <f t="shared" si="32"/>
        <v>0</v>
      </c>
      <c r="L142" s="870"/>
      <c r="X142" s="20"/>
      <c r="Z142" s="20"/>
    </row>
    <row r="143" spans="1:26" x14ac:dyDescent="0.2">
      <c r="G143" s="865"/>
      <c r="H143" s="297" t="s">
        <v>61</v>
      </c>
      <c r="I143" s="298">
        <f t="shared" si="32"/>
        <v>123219</v>
      </c>
      <c r="J143" s="298">
        <f t="shared" si="32"/>
        <v>121491</v>
      </c>
      <c r="K143" s="869">
        <f t="shared" si="32"/>
        <v>1728</v>
      </c>
      <c r="L143" s="870"/>
      <c r="X143" s="20"/>
      <c r="Z143" s="20"/>
    </row>
    <row r="144" spans="1:26" x14ac:dyDescent="0.2">
      <c r="G144" s="865"/>
      <c r="H144" s="297" t="s">
        <v>156</v>
      </c>
      <c r="I144" s="298">
        <f t="shared" si="32"/>
        <v>14000</v>
      </c>
      <c r="J144" s="298">
        <f t="shared" si="32"/>
        <v>14000</v>
      </c>
      <c r="K144" s="869">
        <f t="shared" si="32"/>
        <v>0</v>
      </c>
      <c r="L144" s="870"/>
      <c r="X144" s="20"/>
      <c r="Z144" s="20"/>
    </row>
    <row r="145" spans="3:26" ht="13.5" thickBot="1" x14ac:dyDescent="0.25">
      <c r="G145" s="866"/>
      <c r="H145" s="299" t="s">
        <v>157</v>
      </c>
      <c r="I145" s="300">
        <f t="shared" si="32"/>
        <v>67705</v>
      </c>
      <c r="J145" s="300">
        <f t="shared" si="32"/>
        <v>61111</v>
      </c>
      <c r="K145" s="871">
        <f t="shared" si="32"/>
        <v>6594</v>
      </c>
      <c r="L145" s="872"/>
      <c r="X145" s="20"/>
      <c r="Z145" s="20"/>
    </row>
    <row r="146" spans="3:26" x14ac:dyDescent="0.2">
      <c r="G146" s="879" t="s">
        <v>158</v>
      </c>
      <c r="H146" s="295" t="s">
        <v>28</v>
      </c>
      <c r="I146" s="296">
        <f t="shared" si="32"/>
        <v>82687</v>
      </c>
      <c r="J146" s="296">
        <f t="shared" si="32"/>
        <v>82687</v>
      </c>
      <c r="K146" s="867">
        <f t="shared" si="32"/>
        <v>0</v>
      </c>
      <c r="L146" s="868"/>
      <c r="X146" s="20"/>
      <c r="Z146" s="20"/>
    </row>
    <row r="147" spans="3:26" x14ac:dyDescent="0.2">
      <c r="G147" s="880"/>
      <c r="H147" s="297" t="s">
        <v>80</v>
      </c>
      <c r="I147" s="301">
        <f t="shared" si="32"/>
        <v>10109</v>
      </c>
      <c r="J147" s="301">
        <f t="shared" si="32"/>
        <v>10109</v>
      </c>
      <c r="K147" s="869">
        <f t="shared" si="32"/>
        <v>0</v>
      </c>
      <c r="L147" s="870"/>
      <c r="X147" s="20"/>
      <c r="Z147" s="20"/>
    </row>
    <row r="148" spans="3:26" x14ac:dyDescent="0.2">
      <c r="G148" s="880"/>
      <c r="H148" s="297" t="s">
        <v>61</v>
      </c>
      <c r="I148" s="301">
        <f t="shared" si="32"/>
        <v>9713</v>
      </c>
      <c r="J148" s="301">
        <f t="shared" si="32"/>
        <v>9713</v>
      </c>
      <c r="K148" s="869">
        <f t="shared" si="32"/>
        <v>0</v>
      </c>
      <c r="L148" s="870"/>
      <c r="X148" s="20"/>
      <c r="Z148" s="20"/>
    </row>
    <row r="149" spans="3:26" x14ac:dyDescent="0.2">
      <c r="G149" s="880"/>
      <c r="H149" s="297" t="s">
        <v>156</v>
      </c>
      <c r="I149" s="301">
        <f t="shared" si="32"/>
        <v>38756</v>
      </c>
      <c r="J149" s="301">
        <f t="shared" si="32"/>
        <v>38756</v>
      </c>
      <c r="K149" s="869">
        <f t="shared" si="32"/>
        <v>0</v>
      </c>
      <c r="L149" s="870"/>
      <c r="X149" s="20"/>
      <c r="Z149" s="20"/>
    </row>
    <row r="150" spans="3:26" ht="13.5" thickBot="1" x14ac:dyDescent="0.25">
      <c r="G150" s="881"/>
      <c r="H150" s="299" t="s">
        <v>157</v>
      </c>
      <c r="I150" s="302">
        <f t="shared" si="32"/>
        <v>1700</v>
      </c>
      <c r="J150" s="302">
        <f t="shared" si="32"/>
        <v>1438</v>
      </c>
      <c r="K150" s="871">
        <f t="shared" si="32"/>
        <v>262</v>
      </c>
      <c r="L150" s="872"/>
      <c r="X150" s="20"/>
      <c r="Z150" s="20"/>
    </row>
    <row r="151" spans="3:26" ht="15.75" thickBot="1" x14ac:dyDescent="0.25">
      <c r="G151" s="847" t="s">
        <v>162</v>
      </c>
      <c r="H151" s="873"/>
      <c r="I151" s="303">
        <f t="shared" si="32"/>
        <v>300000</v>
      </c>
      <c r="J151" s="303">
        <f t="shared" si="32"/>
        <v>108136</v>
      </c>
      <c r="K151" s="874">
        <f>I151-J151</f>
        <v>191864</v>
      </c>
      <c r="L151" s="873"/>
      <c r="X151" s="20"/>
      <c r="Z151" s="20"/>
    </row>
    <row r="152" spans="3:26" ht="15.75" thickBot="1" x14ac:dyDescent="0.3">
      <c r="G152" s="875" t="s">
        <v>163</v>
      </c>
      <c r="H152" s="876"/>
      <c r="I152" s="304">
        <f>SUM(I141:I150)</f>
        <v>461787</v>
      </c>
      <c r="J152" s="304">
        <f>SUM(J141:J150)</f>
        <v>375752</v>
      </c>
      <c r="K152" s="877">
        <f>SUM(K141:L150)</f>
        <v>86035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J156" s="307">
        <v>28391</v>
      </c>
      <c r="Q156" s="20">
        <v>8815</v>
      </c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H158" s="307" t="s">
        <v>249</v>
      </c>
      <c r="I158" s="307">
        <v>20500</v>
      </c>
      <c r="J158" s="18">
        <f>I158/I162</f>
        <v>0.46345488662310946</v>
      </c>
      <c r="L158" s="80">
        <f>J156*$J$158</f>
        <v>13157.9476861167</v>
      </c>
      <c r="N158" s="20" t="s">
        <v>256</v>
      </c>
      <c r="P158" s="20">
        <v>360</v>
      </c>
      <c r="Q158" s="20">
        <v>4733</v>
      </c>
      <c r="R158" s="18">
        <f>Q158/Q162</f>
        <v>0.34464428748270587</v>
      </c>
      <c r="S158" s="18"/>
      <c r="T158" s="80">
        <f>Q156*R158</f>
        <v>3038.0393941600523</v>
      </c>
      <c r="X158" s="20"/>
      <c r="Z158" s="20"/>
    </row>
    <row r="159" spans="3:26" x14ac:dyDescent="0.2">
      <c r="C159" s="20"/>
      <c r="F159" s="20"/>
      <c r="H159" s="307" t="s">
        <v>250</v>
      </c>
      <c r="I159" s="307">
        <v>13733</v>
      </c>
      <c r="J159" s="18">
        <f>I159/I162</f>
        <v>0.31046955892659328</v>
      </c>
      <c r="L159" s="80">
        <f>J156*$J$159</f>
        <v>8814.541247484909</v>
      </c>
      <c r="P159" s="20">
        <v>361</v>
      </c>
      <c r="Q159" s="20">
        <v>1500</v>
      </c>
      <c r="R159" s="18">
        <f>Q159/Q162</f>
        <v>0.10922595208621569</v>
      </c>
      <c r="S159" s="18"/>
      <c r="T159" s="80">
        <f>Q156*R159</f>
        <v>962.82676763999132</v>
      </c>
      <c r="X159" s="20"/>
      <c r="Z159" s="20"/>
    </row>
    <row r="160" spans="3:26" x14ac:dyDescent="0.2">
      <c r="C160" s="20"/>
      <c r="F160" s="20"/>
      <c r="H160" s="307" t="s">
        <v>251</v>
      </c>
      <c r="I160" s="307">
        <v>10000</v>
      </c>
      <c r="J160" s="18">
        <f>I160/I162</f>
        <v>0.22607555445029728</v>
      </c>
      <c r="L160" s="80">
        <f>J156*$J$160</f>
        <v>6418.5110663983905</v>
      </c>
      <c r="P160" s="20">
        <v>363</v>
      </c>
      <c r="Q160" s="20">
        <v>7500</v>
      </c>
      <c r="R160" s="18">
        <f>Q160/Q162</f>
        <v>0.54612976043107841</v>
      </c>
      <c r="S160" s="18"/>
      <c r="T160" s="80">
        <f>Q156*R160</f>
        <v>4814.1338381999558</v>
      </c>
      <c r="X160" s="20"/>
      <c r="Z160" s="20"/>
    </row>
    <row r="161" spans="3:26" x14ac:dyDescent="0.2">
      <c r="C161" s="20"/>
      <c r="F161" s="20"/>
      <c r="J161" s="20"/>
      <c r="X161" s="20"/>
      <c r="Z161" s="20"/>
    </row>
    <row r="162" spans="3:26" x14ac:dyDescent="0.2">
      <c r="C162" s="20"/>
      <c r="F162" s="20"/>
      <c r="I162" s="307">
        <f>SUM(I158:I160)</f>
        <v>44233</v>
      </c>
      <c r="J162" s="20"/>
      <c r="Q162" s="20">
        <f>SUM(Q158:Q160)</f>
        <v>13733</v>
      </c>
      <c r="X162" s="20"/>
      <c r="Z162" s="20"/>
    </row>
    <row r="163" spans="3:26" x14ac:dyDescent="0.2">
      <c r="C163" s="20"/>
      <c r="F163" s="20"/>
      <c r="J163" s="20"/>
      <c r="X163" s="20"/>
      <c r="Z163" s="20"/>
    </row>
    <row r="164" spans="3:26" x14ac:dyDescent="0.2">
      <c r="C164" s="20"/>
      <c r="F164" s="20"/>
      <c r="J164" s="20"/>
      <c r="X164" s="20"/>
      <c r="Z164" s="20"/>
    </row>
    <row r="165" spans="3:26" x14ac:dyDescent="0.2">
      <c r="C165" s="20"/>
      <c r="F165" s="20"/>
      <c r="H165" s="458"/>
      <c r="I165" s="459" t="s">
        <v>252</v>
      </c>
      <c r="J165" s="78">
        <v>14260</v>
      </c>
      <c r="K165" s="78"/>
      <c r="P165" s="20" t="s">
        <v>254</v>
      </c>
      <c r="Q165" s="20">
        <v>6506</v>
      </c>
      <c r="X165" s="20"/>
      <c r="Z165" s="20"/>
    </row>
    <row r="166" spans="3:26" x14ac:dyDescent="0.2">
      <c r="C166" s="20"/>
      <c r="F166" s="20"/>
      <c r="H166" s="458" t="s">
        <v>253</v>
      </c>
      <c r="J166" s="20"/>
      <c r="N166" s="20" t="s">
        <v>255</v>
      </c>
      <c r="X166" s="20"/>
      <c r="Z166" s="20"/>
    </row>
    <row r="167" spans="3:26" x14ac:dyDescent="0.2">
      <c r="C167" s="20"/>
      <c r="F167" s="20"/>
      <c r="H167" s="458">
        <v>355</v>
      </c>
      <c r="I167" s="307">
        <v>5205</v>
      </c>
      <c r="J167" s="18">
        <f>I167/I170</f>
        <v>0.22430510665804784</v>
      </c>
      <c r="K167" s="80">
        <f>J165*J167</f>
        <v>3198.5908209437621</v>
      </c>
      <c r="N167" s="20">
        <v>364</v>
      </c>
      <c r="P167" s="20">
        <v>3600</v>
      </c>
      <c r="Q167" s="461">
        <f>P167/P170</f>
        <v>0.34003967129498441</v>
      </c>
      <c r="R167" s="80">
        <f>Q165*Q167</f>
        <v>2212.2981014451684</v>
      </c>
      <c r="X167" s="20"/>
      <c r="Z167" s="20"/>
    </row>
    <row r="168" spans="3:26" x14ac:dyDescent="0.2">
      <c r="C168" s="20"/>
      <c r="F168" s="20"/>
      <c r="H168" s="458">
        <v>356</v>
      </c>
      <c r="I168" s="307">
        <v>18000</v>
      </c>
      <c r="J168" s="18">
        <f>I168/I170</f>
        <v>0.77569489334195219</v>
      </c>
      <c r="K168" s="80">
        <f>J165*J168</f>
        <v>11061.409179056238</v>
      </c>
      <c r="N168" s="20">
        <v>365</v>
      </c>
      <c r="P168" s="20">
        <v>6000</v>
      </c>
      <c r="Q168" s="461">
        <f>P168/P170</f>
        <v>0.56673278549164074</v>
      </c>
      <c r="R168" s="80">
        <f>Q165*Q168</f>
        <v>3687.1635024086145</v>
      </c>
      <c r="X168" s="20"/>
      <c r="Z168" s="20"/>
    </row>
    <row r="169" spans="3:26" x14ac:dyDescent="0.2">
      <c r="C169" s="20"/>
      <c r="F169" s="20"/>
      <c r="H169" s="460"/>
      <c r="J169" s="20"/>
      <c r="N169" s="20" t="s">
        <v>257</v>
      </c>
      <c r="P169" s="20">
        <v>987</v>
      </c>
      <c r="Q169" s="461">
        <f>P169/P170</f>
        <v>9.3227543213374897E-2</v>
      </c>
      <c r="R169" s="80">
        <f>Q165*Q169</f>
        <v>606.53839614621711</v>
      </c>
      <c r="X169" s="20"/>
      <c r="Z169" s="20"/>
    </row>
    <row r="170" spans="3:26" x14ac:dyDescent="0.2">
      <c r="C170" s="20"/>
      <c r="F170" s="20"/>
      <c r="H170" s="458"/>
      <c r="I170" s="458">
        <f>SUM(I167:I168)</f>
        <v>23205</v>
      </c>
      <c r="J170" s="78"/>
      <c r="K170" s="78"/>
      <c r="P170" s="20">
        <f>SUM(P167:P169)</f>
        <v>10587</v>
      </c>
      <c r="X170" s="20"/>
      <c r="Z170" s="20"/>
    </row>
    <row r="171" spans="3:26" ht="15" x14ac:dyDescent="0.25">
      <c r="C171" s="20"/>
      <c r="F171" s="20"/>
      <c r="G171" s="305"/>
      <c r="H171" s="306"/>
      <c r="J171" s="20"/>
      <c r="X171" s="20"/>
      <c r="Z171" s="20"/>
    </row>
    <row r="172" spans="3:26" x14ac:dyDescent="0.2">
      <c r="C172" s="20"/>
      <c r="F172" s="20"/>
      <c r="J172" s="20"/>
      <c r="X172" s="20"/>
      <c r="Z172" s="20"/>
    </row>
    <row r="173" spans="3:26" x14ac:dyDescent="0.2">
      <c r="C173" s="20"/>
      <c r="F173" s="20"/>
      <c r="J173" s="20"/>
      <c r="X173" s="20"/>
      <c r="Z173" s="20"/>
    </row>
  </sheetData>
  <autoFilter ref="A1:AN152">
    <filterColumn colId="27" showButton="0"/>
    <filterColumn colId="28" showButton="0"/>
    <filterColumn colId="29" showButton="0"/>
  </autoFilter>
  <mergeCells count="87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A113:A114"/>
    <mergeCell ref="B113:B114"/>
    <mergeCell ref="G113:H113"/>
    <mergeCell ref="I113:L113"/>
    <mergeCell ref="K114:L114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G125:H125"/>
    <mergeCell ref="K125:L125"/>
    <mergeCell ref="G126:H126"/>
    <mergeCell ref="I126:L126"/>
    <mergeCell ref="K127:L127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</mergeCells>
  <conditionalFormatting sqref="AA78">
    <cfRule type="cellIs" dxfId="199" priority="3" operator="lessThan">
      <formula>$AA$78</formula>
    </cfRule>
    <cfRule type="cellIs" dxfId="198" priority="5" operator="greaterThan">
      <formula>$AE$78</formula>
    </cfRule>
  </conditionalFormatting>
  <conditionalFormatting sqref="AA79">
    <cfRule type="cellIs" dxfId="197" priority="4" operator="greaterThan">
      <formula>$AE$79</formula>
    </cfRule>
  </conditionalFormatting>
  <conditionalFormatting sqref="AA80">
    <cfRule type="cellIs" dxfId="196" priority="2" operator="greaterThan">
      <formula>$AE$79</formula>
    </cfRule>
  </conditionalFormatting>
  <conditionalFormatting sqref="AU4:AU23">
    <cfRule type="cellIs" dxfId="195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00B0F0"/>
  </sheetPr>
  <dimension ref="A1:AU173"/>
  <sheetViews>
    <sheetView topLeftCell="R3" zoomScale="90" zoomScaleNormal="90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210031</v>
      </c>
      <c r="M2" s="29"/>
      <c r="N2" s="798">
        <f>SUM(K2:K26)</f>
        <v>226040</v>
      </c>
      <c r="O2" s="30">
        <f>+K2/$N$2</f>
        <v>1.3271987258892231E-2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210031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569" t="s">
        <v>31</v>
      </c>
      <c r="AE2" s="569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208931</v>
      </c>
      <c r="M3" s="29"/>
      <c r="N3" s="799"/>
      <c r="O3" s="30">
        <f t="shared" ref="O3:O29" si="2">+K3/$N$2</f>
        <v>4.8663953282604847E-3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208931</v>
      </c>
      <c r="X3" s="32">
        <f t="shared" ref="X3:X56" si="9">W3-L3</f>
        <v>0</v>
      </c>
      <c r="Y3" s="37" t="s">
        <v>34</v>
      </c>
      <c r="Z3" s="38">
        <f>ROUND((Z13*57%),0)</f>
        <v>283176</v>
      </c>
      <c r="AA3" s="39">
        <f>ROUND((+Z14*0.57),0)</f>
        <v>282391</v>
      </c>
      <c r="AB3" s="454">
        <v>71848</v>
      </c>
      <c r="AC3" s="455">
        <v>169524</v>
      </c>
      <c r="AD3" s="40">
        <f>AA3-AB3-AC3-19</f>
        <v>41000</v>
      </c>
      <c r="AE3" s="41">
        <f>SUM(AB3:AD3)</f>
        <v>282372</v>
      </c>
      <c r="AF3" s="41">
        <f>AA3-AE3</f>
        <v>19</v>
      </c>
      <c r="AG3" s="42">
        <f>AA3-AB3-AC3-AD3</f>
        <v>19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186531</v>
      </c>
      <c r="M4" s="29"/>
      <c r="N4" s="799"/>
      <c r="O4" s="30">
        <f t="shared" si="2"/>
        <v>9.9097504866395333E-2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186531</v>
      </c>
      <c r="X4" s="32">
        <f t="shared" si="9"/>
        <v>0</v>
      </c>
      <c r="Y4" s="37" t="s">
        <v>38</v>
      </c>
      <c r="Z4" s="38">
        <f>ROUND((Z13*43%),0)</f>
        <v>213624</v>
      </c>
      <c r="AA4" s="39">
        <f>ROUND((+Z14*0.43),0)</f>
        <v>213031</v>
      </c>
      <c r="AB4" s="43">
        <f>T105</f>
        <v>52945</v>
      </c>
      <c r="AC4" s="43">
        <f>S105</f>
        <v>160086</v>
      </c>
      <c r="AD4" s="40">
        <f>U105</f>
        <v>0</v>
      </c>
      <c r="AE4" s="41">
        <f>SUM(AB4:AD4)</f>
        <v>213031</v>
      </c>
      <c r="AF4" s="41">
        <f>AA4-AE4</f>
        <v>0</v>
      </c>
      <c r="AG4" s="42">
        <f>AA4-AB4-AC4-AD4</f>
        <v>0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559">
        <v>0</v>
      </c>
      <c r="I5" s="559">
        <v>1200</v>
      </c>
      <c r="J5" s="26"/>
      <c r="K5" s="27">
        <f t="shared" si="0"/>
        <v>1200</v>
      </c>
      <c r="L5" s="28">
        <f t="shared" si="1"/>
        <v>185331</v>
      </c>
      <c r="M5" s="29"/>
      <c r="N5" s="799"/>
      <c r="O5" s="30">
        <f t="shared" si="2"/>
        <v>5.3087949035568929E-3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185331</v>
      </c>
      <c r="X5" s="32">
        <f t="shared" si="9"/>
        <v>0</v>
      </c>
      <c r="Y5" s="44" t="s">
        <v>41</v>
      </c>
      <c r="Z5" s="38">
        <f>SUM(Z3:Z4)</f>
        <v>496800</v>
      </c>
      <c r="AA5" s="45">
        <f>SUM(AA3:AA4)</f>
        <v>495422</v>
      </c>
      <c r="AB5" s="46">
        <f>SUM(AB3:AB4)</f>
        <v>124793</v>
      </c>
      <c r="AC5" s="41">
        <f>SUM(AC3:AC4)</f>
        <v>329610</v>
      </c>
      <c r="AD5" s="40">
        <f>SUM(AD3:AD4)</f>
        <v>41000</v>
      </c>
      <c r="AE5" s="41">
        <f>SUM(AB5:AD5)</f>
        <v>495403</v>
      </c>
      <c r="AF5" s="47">
        <f>SUM(AF3:AF4)</f>
        <v>19</v>
      </c>
      <c r="AG5" s="47">
        <f>SUM(AG3:AG4)</f>
        <v>19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173331</v>
      </c>
      <c r="M6" s="29"/>
      <c r="N6" s="799"/>
      <c r="O6" s="30">
        <f t="shared" si="2"/>
        <v>5.3087949035568925E-2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173331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v>130500</v>
      </c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12370+1796</f>
        <v>14166</v>
      </c>
      <c r="I7" s="518">
        <f>800+2430+604</f>
        <v>3834</v>
      </c>
      <c r="J7" s="26"/>
      <c r="K7" s="27">
        <f t="shared" si="0"/>
        <v>18000</v>
      </c>
      <c r="L7" s="28">
        <f t="shared" si="1"/>
        <v>155331</v>
      </c>
      <c r="M7" s="29"/>
      <c r="N7" s="799"/>
      <c r="O7" s="30">
        <f t="shared" si="2"/>
        <v>7.9631923553353384E-2</v>
      </c>
      <c r="P7" s="802"/>
      <c r="Q7" s="31">
        <f t="shared" si="3"/>
        <v>0</v>
      </c>
      <c r="R7" s="31"/>
      <c r="S7" s="28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155331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152831</v>
      </c>
      <c r="M8" s="29"/>
      <c r="N8" s="799"/>
      <c r="O8" s="30">
        <f t="shared" si="2"/>
        <v>1.1059989382410193E-2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152831</v>
      </c>
      <c r="X8" s="32">
        <f t="shared" si="9"/>
        <v>0</v>
      </c>
      <c r="Y8" s="14" t="s">
        <v>47</v>
      </c>
      <c r="Z8" s="54">
        <v>41916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1137</v>
      </c>
      <c r="I9" s="518">
        <v>1063</v>
      </c>
      <c r="J9" s="26"/>
      <c r="K9" s="27">
        <f t="shared" si="0"/>
        <v>2200</v>
      </c>
      <c r="L9" s="28">
        <f t="shared" si="1"/>
        <v>150631</v>
      </c>
      <c r="M9" s="29"/>
      <c r="N9" s="799"/>
      <c r="O9" s="30">
        <f t="shared" si="2"/>
        <v>9.7327906565209694E-3</v>
      </c>
      <c r="P9" s="802"/>
      <c r="Q9" s="31">
        <f t="shared" si="3"/>
        <v>0</v>
      </c>
      <c r="R9" s="31"/>
      <c r="S9" s="28">
        <f t="shared" si="4"/>
        <v>1137</v>
      </c>
      <c r="T9" s="28">
        <f t="shared" si="5"/>
        <v>1063</v>
      </c>
      <c r="U9" s="28">
        <f t="shared" si="6"/>
        <v>0</v>
      </c>
      <c r="V9" s="28">
        <f t="shared" si="7"/>
        <v>2200</v>
      </c>
      <c r="W9" s="31">
        <f t="shared" si="8"/>
        <v>150631</v>
      </c>
      <c r="X9" s="32">
        <f t="shared" si="9"/>
        <v>0</v>
      </c>
      <c r="Y9" s="14" t="s">
        <v>189</v>
      </c>
      <c r="Z9" s="58">
        <f>496800-AB9</f>
        <v>496800</v>
      </c>
      <c r="AA9" s="59">
        <f>Z9*14.65/14.73</f>
        <v>494101.83299388998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-128999.99999999999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26"/>
      <c r="J10" s="26"/>
      <c r="K10" s="27">
        <f t="shared" si="0"/>
        <v>20000</v>
      </c>
      <c r="L10" s="28">
        <f t="shared" si="1"/>
        <v>130631</v>
      </c>
      <c r="M10" s="29"/>
      <c r="N10" s="799"/>
      <c r="O10" s="30">
        <f t="shared" si="2"/>
        <v>8.8479915059281544E-2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130631</v>
      </c>
      <c r="X10" s="32">
        <f t="shared" si="9"/>
        <v>0</v>
      </c>
      <c r="Y10" s="14" t="s">
        <v>191</v>
      </c>
      <c r="Z10" s="58">
        <f>ROUND((Z9*Z30),0)</f>
        <v>495422</v>
      </c>
      <c r="AA10" s="59">
        <f>Z10*14.65/14.73</f>
        <v>492731.3170400543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112631</v>
      </c>
      <c r="M11" s="29"/>
      <c r="N11" s="799"/>
      <c r="O11" s="30">
        <f t="shared" si="2"/>
        <v>7.9631923553353384E-2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112631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-55899.999999999985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26"/>
      <c r="I12" s="518">
        <v>3600</v>
      </c>
      <c r="J12" s="26"/>
      <c r="K12" s="27">
        <f t="shared" si="0"/>
        <v>3600</v>
      </c>
      <c r="L12" s="28">
        <f t="shared" si="1"/>
        <v>109031</v>
      </c>
      <c r="M12" s="29"/>
      <c r="N12" s="799"/>
      <c r="O12" s="30">
        <f t="shared" si="2"/>
        <v>1.5926384710670677E-2</v>
      </c>
      <c r="P12" s="802"/>
      <c r="Q12" s="31">
        <f t="shared" si="3"/>
        <v>0</v>
      </c>
      <c r="R12" s="31">
        <v>0</v>
      </c>
      <c r="S12" s="28">
        <f t="shared" si="4"/>
        <v>0</v>
      </c>
      <c r="T12" s="28">
        <f t="shared" si="5"/>
        <v>3600</v>
      </c>
      <c r="U12" s="28">
        <f t="shared" si="6"/>
        <v>0</v>
      </c>
      <c r="V12" s="28">
        <f t="shared" si="7"/>
        <v>3600</v>
      </c>
      <c r="W12" s="31">
        <f t="shared" si="8"/>
        <v>109031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26"/>
      <c r="I13" s="518">
        <v>6000</v>
      </c>
      <c r="J13" s="26"/>
      <c r="K13" s="27">
        <f t="shared" si="0"/>
        <v>6000</v>
      </c>
      <c r="L13" s="28">
        <f t="shared" si="1"/>
        <v>103031</v>
      </c>
      <c r="M13" s="29"/>
      <c r="N13" s="799"/>
      <c r="O13" s="30">
        <f t="shared" si="2"/>
        <v>2.6543974517784463E-2</v>
      </c>
      <c r="P13" s="802"/>
      <c r="Q13" s="31">
        <f t="shared" si="3"/>
        <v>0</v>
      </c>
      <c r="R13" s="31">
        <v>0</v>
      </c>
      <c r="S13" s="28">
        <f t="shared" si="4"/>
        <v>0</v>
      </c>
      <c r="T13" s="28">
        <f t="shared" si="5"/>
        <v>6000</v>
      </c>
      <c r="U13" s="28">
        <f t="shared" si="6"/>
        <v>0</v>
      </c>
      <c r="V13" s="28">
        <f t="shared" si="7"/>
        <v>6000</v>
      </c>
      <c r="W13" s="31">
        <f t="shared" si="8"/>
        <v>103031</v>
      </c>
      <c r="X13" s="32">
        <f t="shared" si="9"/>
        <v>0</v>
      </c>
      <c r="Y13" s="14" t="s">
        <v>67</v>
      </c>
      <c r="Z13" s="67">
        <f>Z14/Z30</f>
        <v>496800.08074237226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16940</v>
      </c>
      <c r="I14" s="26">
        <v>0</v>
      </c>
      <c r="J14" s="26"/>
      <c r="K14" s="27">
        <f t="shared" si="0"/>
        <v>16940</v>
      </c>
      <c r="L14" s="28">
        <f t="shared" si="1"/>
        <v>86091</v>
      </c>
      <c r="M14" s="29"/>
      <c r="N14" s="799"/>
      <c r="O14" s="30">
        <f t="shared" si="2"/>
        <v>7.4942488055211462E-2</v>
      </c>
      <c r="P14" s="802"/>
      <c r="Q14" s="31">
        <f t="shared" si="3"/>
        <v>0</v>
      </c>
      <c r="R14" s="31">
        <v>0</v>
      </c>
      <c r="S14" s="28">
        <f t="shared" si="4"/>
        <v>16940</v>
      </c>
      <c r="T14" s="28">
        <f t="shared" si="5"/>
        <v>0</v>
      </c>
      <c r="U14" s="28">
        <f t="shared" si="6"/>
        <v>0</v>
      </c>
      <c r="V14" s="28">
        <f t="shared" si="7"/>
        <v>16940</v>
      </c>
      <c r="W14" s="31">
        <f t="shared" si="8"/>
        <v>86091</v>
      </c>
      <c r="X14" s="32">
        <f t="shared" si="9"/>
        <v>0</v>
      </c>
      <c r="Y14" s="14" t="s">
        <v>70</v>
      </c>
      <c r="Z14" s="67">
        <f>+Z10-(Z11+Z12)</f>
        <v>495422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68891</v>
      </c>
      <c r="M15" s="29"/>
      <c r="N15" s="799"/>
      <c r="O15" s="30">
        <f t="shared" si="2"/>
        <v>7.6092726950982126E-2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68891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48391</v>
      </c>
      <c r="M16" s="29"/>
      <c r="N16" s="799"/>
      <c r="O16" s="30">
        <f t="shared" si="2"/>
        <v>9.0691912935763577E-2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48391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2653</v>
      </c>
      <c r="I17" s="518">
        <v>3000</v>
      </c>
      <c r="J17" s="26"/>
      <c r="K17" s="27">
        <f t="shared" si="0"/>
        <v>5653</v>
      </c>
      <c r="L17" s="28">
        <f t="shared" si="1"/>
        <v>42738</v>
      </c>
      <c r="M17" s="29"/>
      <c r="N17" s="799"/>
      <c r="O17" s="30">
        <f t="shared" si="2"/>
        <v>2.5008847991505927E-2</v>
      </c>
      <c r="P17" s="802"/>
      <c r="Q17" s="31">
        <f t="shared" si="3"/>
        <v>0</v>
      </c>
      <c r="R17" s="31">
        <v>0</v>
      </c>
      <c r="S17" s="28">
        <f t="shared" si="4"/>
        <v>2653</v>
      </c>
      <c r="T17" s="28">
        <f t="shared" si="5"/>
        <v>3000</v>
      </c>
      <c r="U17" s="28">
        <f t="shared" si="6"/>
        <v>0</v>
      </c>
      <c r="V17" s="28">
        <f t="shared" si="7"/>
        <v>5653</v>
      </c>
      <c r="W17" s="31">
        <f t="shared" si="8"/>
        <v>42738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347</v>
      </c>
      <c r="J18" s="26"/>
      <c r="K18" s="27">
        <f t="shared" si="0"/>
        <v>347</v>
      </c>
      <c r="L18" s="28">
        <f t="shared" si="1"/>
        <v>42391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347</v>
      </c>
      <c r="U18" s="28">
        <f t="shared" si="6"/>
        <v>0</v>
      </c>
      <c r="V18" s="28">
        <f t="shared" si="7"/>
        <v>347</v>
      </c>
      <c r="W18" s="31">
        <f t="shared" si="8"/>
        <v>42391</v>
      </c>
      <c r="X18" s="32"/>
      <c r="Y18" s="14" t="s">
        <v>77</v>
      </c>
      <c r="Z18" s="71">
        <f>ROUND(Z14*0.43,0)</f>
        <v>213031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>
        <v>0</v>
      </c>
      <c r="I19" s="26"/>
      <c r="J19" s="26"/>
      <c r="K19" s="27">
        <f t="shared" si="0"/>
        <v>0</v>
      </c>
      <c r="L19" s="28">
        <f t="shared" si="1"/>
        <v>42391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42391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26">
        <v>0</v>
      </c>
      <c r="I20" s="26">
        <v>0</v>
      </c>
      <c r="J20" s="26"/>
      <c r="K20" s="27">
        <f t="shared" si="0"/>
        <v>0</v>
      </c>
      <c r="L20" s="28">
        <f t="shared" si="1"/>
        <v>42391</v>
      </c>
      <c r="M20" s="29"/>
      <c r="N20" s="799"/>
      <c r="O20" s="30">
        <f t="shared" si="2"/>
        <v>0</v>
      </c>
      <c r="P20" s="802"/>
      <c r="Q20" s="31">
        <f t="shared" si="3"/>
        <v>0</v>
      </c>
      <c r="R20" s="31">
        <v>0</v>
      </c>
      <c r="S20" s="28">
        <f t="shared" si="4"/>
        <v>0</v>
      </c>
      <c r="T20" s="28">
        <f t="shared" si="5"/>
        <v>0</v>
      </c>
      <c r="U20" s="28">
        <f t="shared" si="6"/>
        <v>0</v>
      </c>
      <c r="V20" s="28">
        <f t="shared" si="7"/>
        <v>0</v>
      </c>
      <c r="W20" s="31">
        <f t="shared" si="8"/>
        <v>42391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518">
        <v>1500</v>
      </c>
      <c r="I21" s="26">
        <v>0</v>
      </c>
      <c r="J21" s="26"/>
      <c r="K21" s="27">
        <f t="shared" si="0"/>
        <v>1500</v>
      </c>
      <c r="L21" s="28">
        <f t="shared" si="1"/>
        <v>40891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1500</v>
      </c>
      <c r="T21" s="28">
        <f t="shared" si="5"/>
        <v>0</v>
      </c>
      <c r="U21" s="28">
        <f t="shared" si="6"/>
        <v>0</v>
      </c>
      <c r="V21" s="28">
        <f t="shared" si="7"/>
        <v>1500</v>
      </c>
      <c r="W21" s="31">
        <f t="shared" si="8"/>
        <v>40891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518">
        <v>0</v>
      </c>
      <c r="J22" s="26"/>
      <c r="K22" s="27">
        <f t="shared" si="0"/>
        <v>7500</v>
      </c>
      <c r="L22" s="28">
        <f t="shared" si="1"/>
        <v>33391</v>
      </c>
      <c r="M22" s="29"/>
      <c r="N22" s="799"/>
      <c r="O22" s="30">
        <f t="shared" si="2"/>
        <v>3.3179968147230579E-2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33391</v>
      </c>
      <c r="X22" s="32">
        <f t="shared" si="9"/>
        <v>0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33391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33391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33391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33391</v>
      </c>
      <c r="X24" s="32">
        <f t="shared" si="9"/>
        <v>0</v>
      </c>
      <c r="Y24" s="74" t="s">
        <v>169</v>
      </c>
      <c r="Z24" s="75">
        <f>+Z18+Z19</f>
        <v>213031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21391</v>
      </c>
      <c r="M25" s="29"/>
      <c r="N25" s="799"/>
      <c r="O25" s="30">
        <f t="shared" si="2"/>
        <v>5.3087949035568925E-2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88" si="11">+W24-V25</f>
        <v>21391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-13009</v>
      </c>
      <c r="M26" s="86"/>
      <c r="N26" s="800"/>
      <c r="O26" s="87">
        <f t="shared" si="2"/>
        <v>0.15218545390196425</v>
      </c>
      <c r="P26" s="803"/>
      <c r="Q26" s="144">
        <f t="shared" si="3"/>
        <v>0</v>
      </c>
      <c r="R26" s="144">
        <v>-34400</v>
      </c>
      <c r="S26" s="423">
        <f t="shared" si="4"/>
        <v>0</v>
      </c>
      <c r="T26" s="423">
        <f t="shared" si="5"/>
        <v>0</v>
      </c>
      <c r="U26" s="423">
        <f t="shared" si="6"/>
        <v>0</v>
      </c>
      <c r="V26" s="423">
        <f t="shared" si="7"/>
        <v>0</v>
      </c>
      <c r="W26" s="31">
        <f t="shared" si="11"/>
        <v>21391</v>
      </c>
      <c r="X26" s="32">
        <f t="shared" si="9"/>
        <v>34400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-13009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1"/>
        <v>21391</v>
      </c>
      <c r="X27" s="32">
        <f t="shared" si="9"/>
        <v>34400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-13009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21391</v>
      </c>
      <c r="X28" s="32">
        <f t="shared" si="9"/>
        <v>34400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-13009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21391</v>
      </c>
      <c r="X29" s="32">
        <f t="shared" si="9"/>
        <v>34400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-13009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21391</v>
      </c>
      <c r="X30" s="32">
        <f t="shared" si="9"/>
        <v>34400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-13009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21391</v>
      </c>
      <c r="X31" s="32">
        <f t="shared" si="9"/>
        <v>34400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-13009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21391</v>
      </c>
      <c r="X32" s="32">
        <f t="shared" si="9"/>
        <v>34400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-13009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21391</v>
      </c>
      <c r="X33" s="32">
        <f t="shared" si="9"/>
        <v>34400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-13009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21391</v>
      </c>
      <c r="X34" s="32">
        <f t="shared" si="9"/>
        <v>34400</v>
      </c>
      <c r="Y34" s="806"/>
      <c r="Z34" s="112">
        <v>100000</v>
      </c>
      <c r="AA34" s="113">
        <f>AD5-Z34</f>
        <v>-59000</v>
      </c>
      <c r="AB34" s="113">
        <f>Z34+AA34</f>
        <v>41000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-13009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21391</v>
      </c>
      <c r="X35" s="32">
        <f>W35-L35</f>
        <v>34400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-13009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21391</v>
      </c>
      <c r="X36" s="32">
        <f t="shared" si="9"/>
        <v>34400</v>
      </c>
      <c r="Y36" s="117" t="s">
        <v>60</v>
      </c>
      <c r="Z36" s="113">
        <f>Z34*57%</f>
        <v>56999.999999999993</v>
      </c>
      <c r="AA36" s="113">
        <f>AD3-Z36</f>
        <v>-15999.999999999993</v>
      </c>
      <c r="AB36" s="113">
        <f>Z36+AA36</f>
        <v>41000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-13009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21391</v>
      </c>
      <c r="X37" s="32">
        <f t="shared" si="9"/>
        <v>34400</v>
      </c>
      <c r="Y37" s="117" t="s">
        <v>94</v>
      </c>
      <c r="Z37" s="113">
        <f>+Z35+Z36</f>
        <v>100000</v>
      </c>
      <c r="AA37" s="113">
        <f>SUM(AA35:AA36)</f>
        <v>-58999.999999999993</v>
      </c>
      <c r="AB37" s="113">
        <f>Z37+AA37</f>
        <v>41000.000000000007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0</v>
      </c>
      <c r="I38" s="26"/>
      <c r="J38" s="26"/>
      <c r="K38" s="27">
        <f t="shared" si="0"/>
        <v>0</v>
      </c>
      <c r="L38" s="28">
        <f>+L37-K38</f>
        <v>-13009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21391</v>
      </c>
      <c r="X38" s="32">
        <f t="shared" si="9"/>
        <v>34400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-13009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21391</v>
      </c>
      <c r="X39" s="32">
        <f t="shared" si="9"/>
        <v>34400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-13009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21391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-13009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21391</v>
      </c>
      <c r="X41" s="32">
        <f t="shared" si="9"/>
        <v>34400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-13009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21391</v>
      </c>
      <c r="X42" s="32">
        <f t="shared" si="9"/>
        <v>34400</v>
      </c>
      <c r="Y42" s="74" t="s">
        <v>96</v>
      </c>
      <c r="Z42" s="75">
        <v>35500</v>
      </c>
      <c r="AA42" s="129">
        <f>+H7+H8+H17+H18+H19+H22+H32+H33+H43+H44+H45+H53</f>
        <v>28819</v>
      </c>
      <c r="AB42" s="129">
        <f>+I7+I8+I17+I18+I19+I22+I32+I33+I43+I44+I45+I53</f>
        <v>7181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-13009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21391</v>
      </c>
      <c r="X43" s="32">
        <f t="shared" si="9"/>
        <v>34400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-13009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21391</v>
      </c>
      <c r="X44" s="32">
        <f t="shared" si="9"/>
        <v>34400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-13009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21391</v>
      </c>
      <c r="X45" s="32">
        <f t="shared" si="9"/>
        <v>34400</v>
      </c>
      <c r="Y45" s="131" t="s">
        <v>98</v>
      </c>
      <c r="Z45" s="132">
        <v>9600</v>
      </c>
      <c r="AA45" s="133">
        <f>+H12+H13+H37+H38</f>
        <v>0</v>
      </c>
      <c r="AB45" s="133">
        <f>+I12+I13+I37+I38</f>
        <v>9600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-23009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11"/>
        <v>11391</v>
      </c>
      <c r="X46" s="32">
        <f t="shared" si="9"/>
        <v>34400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-23009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11391</v>
      </c>
      <c r="X47" s="32">
        <f t="shared" si="9"/>
        <v>34400</v>
      </c>
      <c r="Y47" s="57">
        <v>20000</v>
      </c>
      <c r="Z47" s="89">
        <v>4586</v>
      </c>
      <c r="AA47" s="35"/>
      <c r="AB47" s="57">
        <f>57000-AA60</f>
        <v>16000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-23009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11391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-23009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11391</v>
      </c>
      <c r="X49" s="32">
        <f t="shared" si="9"/>
        <v>34400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-23009</v>
      </c>
      <c r="M50" s="95"/>
      <c r="N50" s="804">
        <f>SUM(K50:K55)</f>
        <v>23000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11391</v>
      </c>
      <c r="X50" s="32">
        <f t="shared" si="9"/>
        <v>34400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59">
        <v>15000</v>
      </c>
      <c r="J51" s="26"/>
      <c r="K51" s="444">
        <f t="shared" si="0"/>
        <v>15000</v>
      </c>
      <c r="L51" s="28">
        <f t="shared" si="1"/>
        <v>-38009</v>
      </c>
      <c r="M51" s="234"/>
      <c r="N51" s="799"/>
      <c r="O51" s="184"/>
      <c r="P51" s="802"/>
      <c r="Q51" s="31"/>
      <c r="R51" s="31">
        <v>-7571</v>
      </c>
      <c r="S51" s="422">
        <f t="shared" si="4"/>
        <v>0</v>
      </c>
      <c r="T51" s="28">
        <f t="shared" si="5"/>
        <v>7429</v>
      </c>
      <c r="U51" s="28">
        <f t="shared" si="6"/>
        <v>0</v>
      </c>
      <c r="V51" s="28">
        <f t="shared" si="7"/>
        <v>7429</v>
      </c>
      <c r="W51" s="31">
        <f t="shared" si="11"/>
        <v>3962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-38009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3962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59">
        <v>2000</v>
      </c>
      <c r="I53" s="26"/>
      <c r="J53" s="26"/>
      <c r="K53" s="27">
        <f t="shared" si="0"/>
        <v>2000</v>
      </c>
      <c r="L53" s="28">
        <f>+L52-K53</f>
        <v>-40009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>
        <v>-1010</v>
      </c>
      <c r="S53" s="28">
        <f t="shared" si="4"/>
        <v>990</v>
      </c>
      <c r="T53" s="28">
        <f t="shared" si="5"/>
        <v>0</v>
      </c>
      <c r="U53" s="28">
        <f t="shared" si="6"/>
        <v>0</v>
      </c>
      <c r="V53" s="28">
        <f t="shared" si="7"/>
        <v>990</v>
      </c>
      <c r="W53" s="31">
        <f t="shared" si="11"/>
        <v>2972</v>
      </c>
      <c r="X53" s="32">
        <f t="shared" si="9"/>
        <v>42981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-40009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2972</v>
      </c>
      <c r="X54" s="32">
        <f t="shared" si="9"/>
        <v>42981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59">
        <v>6000</v>
      </c>
      <c r="J55" s="143"/>
      <c r="K55" s="27">
        <f t="shared" si="0"/>
        <v>6000</v>
      </c>
      <c r="L55" s="28">
        <f t="shared" si="1"/>
        <v>-46009</v>
      </c>
      <c r="M55" s="86"/>
      <c r="N55" s="800"/>
      <c r="O55" s="87">
        <f t="shared" si="12"/>
        <v>0.6</v>
      </c>
      <c r="P55" s="803"/>
      <c r="Q55" s="97">
        <f t="shared" si="13"/>
        <v>0</v>
      </c>
      <c r="R55" s="31">
        <v>-3028</v>
      </c>
      <c r="S55" s="423">
        <f t="shared" si="4"/>
        <v>0</v>
      </c>
      <c r="T55" s="28">
        <f>IF(I55&lt;&gt;0,+I55+Q55+R55,0)</f>
        <v>2972</v>
      </c>
      <c r="U55" s="423">
        <f t="shared" si="6"/>
        <v>0</v>
      </c>
      <c r="V55" s="423">
        <f>+S55+T55+U55</f>
        <v>2972</v>
      </c>
      <c r="W55" s="31">
        <f t="shared" si="11"/>
        <v>0</v>
      </c>
      <c r="X55" s="119">
        <f t="shared" si="9"/>
        <v>46009</v>
      </c>
      <c r="Y55" s="807">
        <f>Z8</f>
        <v>41916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-46009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0</v>
      </c>
      <c r="X56" s="119">
        <f t="shared" si="9"/>
        <v>46009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-46009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-46009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0</v>
      </c>
      <c r="X58" s="408"/>
      <c r="Y58" s="180" t="s">
        <v>7</v>
      </c>
      <c r="Z58" s="181">
        <f>+AB4</f>
        <v>52945</v>
      </c>
      <c r="AA58" s="182">
        <f>+AB3</f>
        <v>71848</v>
      </c>
      <c r="AB58" s="182">
        <f>Z12</f>
        <v>0</v>
      </c>
      <c r="AC58" s="181">
        <f>AB10</f>
        <v>0</v>
      </c>
      <c r="AD58" s="183">
        <f>SUM(Z58:AC58)</f>
        <v>124793</v>
      </c>
      <c r="AE58" s="185">
        <v>90000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-46009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0</v>
      </c>
      <c r="X59" s="408"/>
      <c r="Y59" s="180" t="s">
        <v>17</v>
      </c>
      <c r="Z59" s="182">
        <f>+AC4</f>
        <v>160086</v>
      </c>
      <c r="AA59" s="182">
        <f>AC3</f>
        <v>169524</v>
      </c>
      <c r="AB59" s="182">
        <f>Z11</f>
        <v>0</v>
      </c>
      <c r="AC59" s="181">
        <v>0</v>
      </c>
      <c r="AD59" s="183">
        <f>SUM(Z59:AC59)</f>
        <v>329610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-60651.666666666686</v>
      </c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-46009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0</v>
      </c>
      <c r="X60" s="408"/>
      <c r="Y60" s="180" t="s">
        <v>112</v>
      </c>
      <c r="Z60" s="181">
        <f>+AD4+AH11</f>
        <v>0</v>
      </c>
      <c r="AA60" s="182">
        <f>+AD3+AH10</f>
        <v>41000</v>
      </c>
      <c r="AB60" s="191">
        <v>0</v>
      </c>
      <c r="AC60" s="181">
        <v>0</v>
      </c>
      <c r="AD60" s="183">
        <f>SUM(Z60:AC60)</f>
        <v>41000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-46009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0</v>
      </c>
      <c r="X61" s="408"/>
      <c r="Y61" s="193" t="s">
        <v>113</v>
      </c>
      <c r="Z61" s="194">
        <f>SUM(Z58:Z60)</f>
        <v>213031</v>
      </c>
      <c r="AA61" s="194">
        <f>SUM(AA58:AA60)</f>
        <v>282372</v>
      </c>
      <c r="AB61" s="194">
        <f>SUM(AB58:AB60)</f>
        <v>0</v>
      </c>
      <c r="AC61" s="194">
        <f>AB10</f>
        <v>0</v>
      </c>
      <c r="AD61" s="195">
        <f>SUM(AD58:AD60)</f>
        <v>495403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-46009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0</v>
      </c>
      <c r="X62" s="408"/>
      <c r="Y62" s="199" t="s">
        <v>114</v>
      </c>
      <c r="Z62" s="200">
        <f>(Z58/$Z$28+(Z59/$Z$27)+(Z60/$Z$29))</f>
        <v>213616.17519193763</v>
      </c>
      <c r="AA62" s="200">
        <f>(AA58/$Z$28+(AA59/$Z$27)+(AA60/$Z$29))</f>
        <v>283153.80208169844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496769.97727363609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-46009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0</v>
      </c>
      <c r="X63" s="408"/>
      <c r="Y63" s="368" t="s">
        <v>293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-46009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0</v>
      </c>
      <c r="X64" s="408"/>
      <c r="Y64" s="368" t="s">
        <v>303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-46009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0</v>
      </c>
      <c r="X65" s="408"/>
      <c r="Y65" s="371" t="s">
        <v>115</v>
      </c>
      <c r="Z65" s="484"/>
      <c r="AA65" s="203">
        <v>120479</v>
      </c>
      <c r="AB65" s="204"/>
      <c r="AC65" s="204"/>
      <c r="AD65" s="205"/>
      <c r="AE65" s="32">
        <v>108797.23749999999</v>
      </c>
      <c r="AF65" s="53">
        <f>+AA65-AE65</f>
        <v>11681.762500000012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-46009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0</v>
      </c>
      <c r="X66" s="408"/>
      <c r="Y66" s="814" t="s">
        <v>116</v>
      </c>
      <c r="Z66" s="815"/>
      <c r="AA66" s="203">
        <v>100259</v>
      </c>
      <c r="AB66" s="208"/>
      <c r="AC66" s="208"/>
      <c r="AD66" s="209"/>
      <c r="AE66" s="13">
        <v>52014.378240000005</v>
      </c>
      <c r="AF66" s="53">
        <f>+AA66-AE66</f>
        <v>48244.621759999995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-46009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-46009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0</v>
      </c>
      <c r="X68" s="211"/>
      <c r="Y68" s="814" t="s">
        <v>188</v>
      </c>
      <c r="Z68" s="815"/>
      <c r="AA68" s="207">
        <f>Z9*Z30+AC61</f>
        <v>495421.91948160011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-46009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-46009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0</v>
      </c>
      <c r="X70" s="211"/>
      <c r="Y70" s="213"/>
      <c r="Z70" s="232">
        <f>+Z61-2200</f>
        <v>210831</v>
      </c>
      <c r="AA70" s="213"/>
      <c r="AB70" s="213"/>
      <c r="AC70" s="213"/>
      <c r="AD70" s="233">
        <v>491197</v>
      </c>
      <c r="AE70" s="233">
        <f>+AD70-(Z61+AA61)</f>
        <v>-4206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-46009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-46009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0</v>
      </c>
      <c r="X72" s="211"/>
      <c r="Y72" s="214" t="s">
        <v>47</v>
      </c>
      <c r="Z72" s="215">
        <f>Z8</f>
        <v>41916</v>
      </c>
      <c r="AA72" s="818" t="s">
        <v>118</v>
      </c>
      <c r="AB72" s="818"/>
      <c r="AC72" s="818"/>
      <c r="AD72" s="216">
        <v>0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24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-46009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0</v>
      </c>
      <c r="X73" s="211"/>
      <c r="Y73" s="214" t="s">
        <v>119</v>
      </c>
      <c r="Z73" s="480">
        <f>AD72</f>
        <v>0</v>
      </c>
      <c r="AA73" s="570" t="s">
        <v>120</v>
      </c>
      <c r="AB73" s="570"/>
      <c r="AC73" s="570"/>
      <c r="AD73" s="219">
        <f>24-AD72</f>
        <v>24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21500</v>
      </c>
      <c r="AO73" s="373">
        <f>AN73*AM72/24</f>
        <v>21500</v>
      </c>
      <c r="AP73" s="19">
        <f>21500*AD72/24</f>
        <v>0</v>
      </c>
      <c r="AQ73" s="19">
        <f>21500-AP73</f>
        <v>21500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-46009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571" t="s">
        <v>127</v>
      </c>
      <c r="AK74" s="819"/>
      <c r="AL74" s="819"/>
      <c r="AM74" s="20" t="s">
        <v>232</v>
      </c>
      <c r="AN74" s="19">
        <f>Z79-AN73</f>
        <v>-21500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-46009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0</v>
      </c>
      <c r="X75" s="211"/>
      <c r="Y75" s="571" t="s">
        <v>121</v>
      </c>
      <c r="Z75" s="571" t="s">
        <v>122</v>
      </c>
      <c r="AA75" s="571" t="s">
        <v>123</v>
      </c>
      <c r="AB75" s="820" t="s">
        <v>124</v>
      </c>
      <c r="AC75" s="821"/>
      <c r="AD75" s="822"/>
      <c r="AE75" s="571" t="s">
        <v>125</v>
      </c>
      <c r="AF75" s="571" t="s">
        <v>126</v>
      </c>
      <c r="AG75" s="149"/>
      <c r="AH75" s="571" t="s">
        <v>121</v>
      </c>
      <c r="AI75" s="571"/>
      <c r="AJ75" s="214" t="s">
        <v>7</v>
      </c>
      <c r="AK75" s="236">
        <f>((+AD78-AA78)/$AD$73)*24</f>
        <v>124793</v>
      </c>
      <c r="AL75" s="236">
        <f>AK75</f>
        <v>124793</v>
      </c>
      <c r="AM75" s="20" t="s">
        <v>7</v>
      </c>
      <c r="AN75" s="19">
        <f>AD58</f>
        <v>124793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-46009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0</v>
      </c>
      <c r="X76" s="211"/>
      <c r="Y76" s="571"/>
      <c r="Z76" s="571"/>
      <c r="AA76" s="571"/>
      <c r="AB76" s="571"/>
      <c r="AC76" s="571"/>
      <c r="AD76" s="571"/>
      <c r="AE76" s="571"/>
      <c r="AF76" s="571"/>
      <c r="AG76" s="149"/>
      <c r="AH76" s="571"/>
      <c r="AI76" s="571"/>
      <c r="AJ76" s="214" t="s">
        <v>6</v>
      </c>
      <c r="AK76" s="236">
        <f>((+AD79-AA79)/$AD$73)*24</f>
        <v>329610</v>
      </c>
      <c r="AL76" s="236">
        <f>+AK76</f>
        <v>329610</v>
      </c>
      <c r="AM76" s="464"/>
      <c r="AN76" s="19">
        <f>SUM(AN73:AN75)</f>
        <v>124793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-46009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0</v>
      </c>
      <c r="X77" s="211"/>
      <c r="Y77" s="571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571"/>
      <c r="AI77" s="78"/>
      <c r="AJ77" s="214" t="s">
        <v>8</v>
      </c>
      <c r="AK77" s="236">
        <f>((+AD80-AA80)/$AD$73)*24</f>
        <v>41000</v>
      </c>
      <c r="AL77" s="236">
        <f>AK77</f>
        <v>41000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-46009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0</v>
      </c>
      <c r="X78" s="211"/>
      <c r="Y78" s="214" t="s">
        <v>7</v>
      </c>
      <c r="Z78" s="224"/>
      <c r="AA78" s="225">
        <v>0</v>
      </c>
      <c r="AB78" s="226">
        <f t="shared" ref="AB78:AC80" si="22">+Z58</f>
        <v>52945</v>
      </c>
      <c r="AC78" s="226">
        <f t="shared" si="22"/>
        <v>71848</v>
      </c>
      <c r="AD78" s="226">
        <f>+AB78+AC78+AB58+AC58</f>
        <v>124793</v>
      </c>
      <c r="AE78" s="519">
        <f>+((AD58/24)*$AD$73)+AA78</f>
        <v>124793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495403</v>
      </c>
      <c r="AL78" s="231">
        <f>+SUM(AL75:AL77)</f>
        <v>495403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-46009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0</v>
      </c>
      <c r="X79" s="211"/>
      <c r="Y79" s="214" t="s">
        <v>6</v>
      </c>
      <c r="Z79" s="224"/>
      <c r="AA79" s="225">
        <f>0+0</f>
        <v>0</v>
      </c>
      <c r="AB79" s="226">
        <f t="shared" si="22"/>
        <v>160086</v>
      </c>
      <c r="AC79" s="226">
        <f t="shared" si="22"/>
        <v>169524</v>
      </c>
      <c r="AD79" s="226">
        <f>+AB79+AC79+AB59</f>
        <v>329610</v>
      </c>
      <c r="AE79" s="519">
        <f>+((AD59/24)*$AD$73)+AA79</f>
        <v>329610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v>536741</v>
      </c>
      <c r="AL79" s="481">
        <f>AK79-AK78</f>
        <v>41338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-46009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0</v>
      </c>
      <c r="X80" s="211"/>
      <c r="Y80" s="214" t="s">
        <v>8</v>
      </c>
      <c r="Z80" s="224"/>
      <c r="AA80" s="225">
        <v>0</v>
      </c>
      <c r="AB80" s="226">
        <f t="shared" si="22"/>
        <v>0</v>
      </c>
      <c r="AC80" s="226">
        <f t="shared" si="22"/>
        <v>41000</v>
      </c>
      <c r="AD80" s="226">
        <f>+AB80+AC80</f>
        <v>41000</v>
      </c>
      <c r="AE80" s="519">
        <f>+((AD60/24)*$AD$73)+AA80</f>
        <v>41000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-46009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0</v>
      </c>
      <c r="X81" s="211"/>
      <c r="Y81" s="228" t="s">
        <v>130</v>
      </c>
      <c r="Z81" s="229">
        <f t="shared" ref="Z81:AE81" si="23">SUM(Z78:Z80)</f>
        <v>0</v>
      </c>
      <c r="AA81" s="230">
        <f t="shared" si="23"/>
        <v>0</v>
      </c>
      <c r="AB81" s="229">
        <f t="shared" si="23"/>
        <v>213031</v>
      </c>
      <c r="AC81" s="229">
        <f t="shared" si="23"/>
        <v>282372</v>
      </c>
      <c r="AD81" s="229">
        <f t="shared" si="23"/>
        <v>495403</v>
      </c>
      <c r="AE81" s="229">
        <f t="shared" si="23"/>
        <v>495403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-46009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-46009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0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-46009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-46009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-46009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-46009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-46009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-46009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0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-46009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-46009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-46009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0</v>
      </c>
      <c r="Y92" s="823" t="s">
        <v>158</v>
      </c>
      <c r="Z92" s="489" t="s">
        <v>283</v>
      </c>
      <c r="AA92" s="490" t="e">
        <f>IF(C2:D57="Regulado",VLOOKUP(A2,[1]HeatRate!$A$1:$D$37,4,FALSE),"")</f>
        <v>#VALUE!</v>
      </c>
      <c r="AB92" s="491"/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-46009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0</v>
      </c>
      <c r="Y93" s="824"/>
      <c r="Z93" s="492" t="s">
        <v>284</v>
      </c>
      <c r="AA93" s="493"/>
      <c r="AB93" s="494"/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-46009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0</v>
      </c>
      <c r="Y94" s="824"/>
      <c r="Z94" s="492" t="s">
        <v>80</v>
      </c>
      <c r="AA94" s="493"/>
      <c r="AB94" s="494"/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-46009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0</v>
      </c>
      <c r="Y95" s="824"/>
      <c r="Z95" s="492" t="s">
        <v>285</v>
      </c>
      <c r="AA95" s="493"/>
      <c r="AB95" s="494"/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-46009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0</v>
      </c>
      <c r="Y96" s="824"/>
      <c r="Z96" s="495" t="s">
        <v>286</v>
      </c>
      <c r="AA96" s="496"/>
      <c r="AB96" s="497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-46009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0</v>
      </c>
      <c r="Y97" s="825" t="s">
        <v>154</v>
      </c>
      <c r="Z97" s="489" t="s">
        <v>283</v>
      </c>
      <c r="AA97" s="498"/>
      <c r="AB97" s="499"/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-46009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0</v>
      </c>
      <c r="Y98" s="826"/>
      <c r="Z98" s="492" t="s">
        <v>284</v>
      </c>
      <c r="AA98" s="500"/>
      <c r="AB98" s="501"/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-46009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0</v>
      </c>
      <c r="Y99" s="826"/>
      <c r="Z99" s="492" t="s">
        <v>80</v>
      </c>
      <c r="AA99" s="500"/>
      <c r="AB99" s="501"/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-46009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0</v>
      </c>
      <c r="Y100" s="826"/>
      <c r="Z100" s="492" t="s">
        <v>285</v>
      </c>
      <c r="AA100" s="500"/>
      <c r="AB100" s="501"/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-46009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0</v>
      </c>
      <c r="Y101" s="827"/>
      <c r="Z101" s="4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-46009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0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-46009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0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161096</v>
      </c>
      <c r="I105" s="252">
        <f>+SUM(I2:I103)</f>
        <v>63544</v>
      </c>
      <c r="J105" s="252">
        <f>+SUM(J2:J103)</f>
        <v>34400</v>
      </c>
      <c r="K105" s="252">
        <f>SUM(K2:K103)</f>
        <v>259040</v>
      </c>
      <c r="L105" s="253">
        <f>+L103</f>
        <v>-46009</v>
      </c>
      <c r="M105" s="252">
        <f>SUM(M2:M103)</f>
        <v>0</v>
      </c>
      <c r="N105" s="252">
        <f>SUM(N2:N103)</f>
        <v>259040</v>
      </c>
      <c r="O105" s="252"/>
      <c r="P105" s="252">
        <f>SUM(P2:P103)</f>
        <v>0</v>
      </c>
      <c r="Q105" s="252">
        <f>SUM(Q2:Q103)</f>
        <v>0</v>
      </c>
      <c r="R105" s="252">
        <f>SUM(R2:R103)</f>
        <v>-46009</v>
      </c>
      <c r="S105" s="252">
        <f>SUM(S2:S103)</f>
        <v>160086</v>
      </c>
      <c r="T105" s="252">
        <f>+SUM(T2:T103)</f>
        <v>52945</v>
      </c>
      <c r="U105" s="252">
        <f>SUM(U2:U103)</f>
        <v>0</v>
      </c>
      <c r="V105" s="252">
        <f>SUM(V2:V103)</f>
        <v>213031</v>
      </c>
      <c r="W105" s="254">
        <f>+W103</f>
        <v>0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>
        <f>J93-8783</f>
        <v>-8783</v>
      </c>
      <c r="S106" s="119">
        <v>131959</v>
      </c>
      <c r="T106" s="116">
        <v>78079</v>
      </c>
      <c r="W106" s="119"/>
      <c r="Y106" s="830"/>
      <c r="Z106" s="4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575" t="s">
        <v>304</v>
      </c>
      <c r="I107" s="575" t="s">
        <v>150</v>
      </c>
      <c r="J107" s="575" t="s">
        <v>306</v>
      </c>
      <c r="K107" s="576" t="s">
        <v>307</v>
      </c>
      <c r="L107" s="287" t="s">
        <v>308</v>
      </c>
      <c r="M107" s="259"/>
      <c r="N107" s="259"/>
      <c r="O107" s="259"/>
      <c r="P107" s="259"/>
      <c r="Q107" s="116"/>
      <c r="R107" s="116"/>
      <c r="S107" s="119">
        <f>S106-S105</f>
        <v>-28127</v>
      </c>
      <c r="T107" s="119">
        <f>T106-T105</f>
        <v>25134</v>
      </c>
      <c r="U107" s="116">
        <v>677</v>
      </c>
      <c r="V107" s="119">
        <f>+V51-U107</f>
        <v>6752</v>
      </c>
      <c r="W107" s="119"/>
      <c r="Y107" s="502" t="s">
        <v>289</v>
      </c>
      <c r="Z107" s="503" t="s">
        <v>289</v>
      </c>
      <c r="AA107" s="504"/>
      <c r="AB107" s="505"/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 t="s">
        <v>193</v>
      </c>
      <c r="I108" s="257">
        <v>6000</v>
      </c>
      <c r="J108" s="574">
        <f>I108/$I$111</f>
        <v>0.2608695652173913</v>
      </c>
      <c r="K108" s="119">
        <f>$W$50*J108</f>
        <v>2971.5652173913045</v>
      </c>
      <c r="L108" s="119">
        <f>I108-K108</f>
        <v>3028.4347826086955</v>
      </c>
      <c r="M108" s="259"/>
      <c r="N108" s="259"/>
      <c r="O108" s="259"/>
      <c r="P108" s="259"/>
      <c r="Q108" s="116"/>
      <c r="R108" s="116"/>
      <c r="S108" s="119"/>
      <c r="T108" s="116"/>
      <c r="U108" s="116"/>
      <c r="V108" s="121">
        <v>7</v>
      </c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 t="s">
        <v>239</v>
      </c>
      <c r="I109" s="257">
        <v>15000</v>
      </c>
      <c r="J109" s="574">
        <f>I109/$I$111</f>
        <v>0.65217391304347827</v>
      </c>
      <c r="K109" s="119">
        <f>$W$50*J109</f>
        <v>7428.913043478261</v>
      </c>
      <c r="L109" s="119">
        <f>I109-K109</f>
        <v>7571.086956521739</v>
      </c>
      <c r="M109" s="259"/>
      <c r="N109" s="259"/>
      <c r="O109" s="259"/>
      <c r="P109" s="259"/>
      <c r="Q109" s="116"/>
      <c r="R109" s="116"/>
      <c r="S109" s="119"/>
      <c r="T109" s="116"/>
      <c r="U109" s="116"/>
      <c r="V109" s="119">
        <f>+V107*V108</f>
        <v>47264</v>
      </c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 t="s">
        <v>305</v>
      </c>
      <c r="I110" s="260">
        <v>2000</v>
      </c>
      <c r="J110" s="574">
        <f>I110/$I$111</f>
        <v>8.6956521739130432E-2</v>
      </c>
      <c r="K110" s="119">
        <f>$W$50*J110</f>
        <v>990.52173913043475</v>
      </c>
      <c r="L110" s="119">
        <f>I110-K110</f>
        <v>1009.4782608695652</v>
      </c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573" t="s">
        <v>9</v>
      </c>
      <c r="I111" s="572">
        <f>SUM(I108:I110)</f>
        <v>23000</v>
      </c>
      <c r="J111" s="574">
        <f>SUM(J108:J110)</f>
        <v>1</v>
      </c>
      <c r="K111" s="265">
        <f>SUM(K108:K110)</f>
        <v>11391</v>
      </c>
      <c r="L111" s="265">
        <f>SUM(L108:L110)</f>
        <v>11609</v>
      </c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106563</v>
      </c>
      <c r="J115" s="274">
        <f>SUM(H2:H5)+H14+SUM(H30:H32)+H35+18820</f>
        <v>38760</v>
      </c>
      <c r="K115" s="845">
        <f t="shared" ref="K115:K123" si="28">I115-J115</f>
        <v>67803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2000</v>
      </c>
      <c r="J116" s="275">
        <f>I116+0</f>
        <v>2000</v>
      </c>
      <c r="K116" s="839">
        <f t="shared" si="28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123478</v>
      </c>
      <c r="J117" s="275">
        <f>I117</f>
        <v>123478</v>
      </c>
      <c r="K117" s="839">
        <f t="shared" si="28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28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28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92320</v>
      </c>
      <c r="J120" s="275">
        <f>I120</f>
        <v>92320</v>
      </c>
      <c r="K120" s="839">
        <f t="shared" si="28"/>
        <v>0</v>
      </c>
      <c r="L120" s="840"/>
      <c r="AJ120" s="109" t="s">
        <v>155</v>
      </c>
      <c r="AK120" s="236">
        <v>169523</v>
      </c>
    </row>
    <row r="121" spans="1:40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6109</v>
      </c>
      <c r="J121" s="275">
        <f>I121+0</f>
        <v>6109</v>
      </c>
      <c r="K121" s="839">
        <f t="shared" si="28"/>
        <v>0</v>
      </c>
      <c r="L121" s="840"/>
      <c r="AJ121" s="354" t="s">
        <v>135</v>
      </c>
      <c r="AK121" s="355">
        <v>173236</v>
      </c>
    </row>
    <row r="122" spans="1:40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7726</v>
      </c>
      <c r="J122" s="277">
        <f>SUM(I15:I24)+SUM(I38:I43)+4379</f>
        <v>7726</v>
      </c>
      <c r="K122" s="839">
        <f t="shared" si="28"/>
        <v>0</v>
      </c>
      <c r="L122" s="840"/>
      <c r="M122" s="50"/>
      <c r="N122" s="50"/>
      <c r="O122" s="50"/>
      <c r="P122" s="50"/>
      <c r="AJ122" s="109"/>
      <c r="AK122" s="236"/>
    </row>
    <row r="123" spans="1:40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28"/>
        <v>0</v>
      </c>
      <c r="L123" s="840"/>
      <c r="AJ123" s="354"/>
      <c r="AK123" s="355"/>
    </row>
    <row r="124" spans="1:40" ht="13.5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29">I129-J129</f>
        <v>0</v>
      </c>
      <c r="L129" s="854"/>
    </row>
    <row r="130" spans="1:26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29"/>
        <v>1728</v>
      </c>
      <c r="L130" s="854"/>
    </row>
    <row r="131" spans="1:26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29"/>
        <v>0</v>
      </c>
      <c r="L131" s="854"/>
    </row>
    <row r="132" spans="1:26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29"/>
        <v>6594</v>
      </c>
      <c r="L132" s="854"/>
    </row>
    <row r="133" spans="1:26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29"/>
        <v>0</v>
      </c>
      <c r="L133" s="854"/>
    </row>
    <row r="134" spans="1:26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29"/>
        <v>0</v>
      </c>
      <c r="L134" s="854"/>
    </row>
    <row r="135" spans="1:26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29"/>
        <v>0</v>
      </c>
      <c r="L135" s="854"/>
    </row>
    <row r="136" spans="1:26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29"/>
        <v>0</v>
      </c>
      <c r="L136" s="854"/>
    </row>
    <row r="137" spans="1:26" ht="13.5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29"/>
        <v>262</v>
      </c>
      <c r="L137" s="854"/>
      <c r="X137" s="20"/>
      <c r="Z137" s="20"/>
    </row>
    <row r="138" spans="1:26" ht="15.75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x14ac:dyDescent="0.2">
      <c r="G141" s="864" t="s">
        <v>154</v>
      </c>
      <c r="H141" s="295" t="s">
        <v>28</v>
      </c>
      <c r="I141" s="296">
        <f t="shared" ref="I141:K151" si="30">I115+I128</f>
        <v>106563</v>
      </c>
      <c r="J141" s="296">
        <f t="shared" si="30"/>
        <v>38760</v>
      </c>
      <c r="K141" s="867">
        <f t="shared" si="30"/>
        <v>67803</v>
      </c>
      <c r="L141" s="868"/>
      <c r="X141" s="20"/>
      <c r="Z141" s="20"/>
    </row>
    <row r="142" spans="1:26" x14ac:dyDescent="0.2">
      <c r="C142" s="20"/>
      <c r="F142" s="20"/>
      <c r="G142" s="865"/>
      <c r="H142" s="297" t="s">
        <v>80</v>
      </c>
      <c r="I142" s="298">
        <f t="shared" si="30"/>
        <v>2000</v>
      </c>
      <c r="J142" s="298">
        <f t="shared" si="30"/>
        <v>2000</v>
      </c>
      <c r="K142" s="869">
        <f t="shared" si="30"/>
        <v>0</v>
      </c>
      <c r="L142" s="870"/>
      <c r="X142" s="20"/>
      <c r="Z142" s="20"/>
    </row>
    <row r="143" spans="1:26" x14ac:dyDescent="0.2">
      <c r="G143" s="865"/>
      <c r="H143" s="297" t="s">
        <v>61</v>
      </c>
      <c r="I143" s="298">
        <f t="shared" si="30"/>
        <v>125206</v>
      </c>
      <c r="J143" s="298">
        <f t="shared" si="30"/>
        <v>123478</v>
      </c>
      <c r="K143" s="869">
        <f t="shared" si="30"/>
        <v>1728</v>
      </c>
      <c r="L143" s="870"/>
      <c r="X143" s="20"/>
      <c r="Z143" s="20"/>
    </row>
    <row r="144" spans="1:26" x14ac:dyDescent="0.2">
      <c r="G144" s="865"/>
      <c r="H144" s="297" t="s">
        <v>156</v>
      </c>
      <c r="I144" s="298">
        <f t="shared" si="30"/>
        <v>14000</v>
      </c>
      <c r="J144" s="298">
        <f t="shared" si="30"/>
        <v>14000</v>
      </c>
      <c r="K144" s="869">
        <f t="shared" si="30"/>
        <v>0</v>
      </c>
      <c r="L144" s="870"/>
      <c r="X144" s="20"/>
      <c r="Z144" s="20"/>
    </row>
    <row r="145" spans="3:26" ht="13.5" thickBot="1" x14ac:dyDescent="0.25">
      <c r="G145" s="866"/>
      <c r="H145" s="299" t="s">
        <v>157</v>
      </c>
      <c r="I145" s="300">
        <f t="shared" si="30"/>
        <v>67705</v>
      </c>
      <c r="J145" s="300">
        <f t="shared" si="30"/>
        <v>61111</v>
      </c>
      <c r="K145" s="871">
        <f t="shared" si="30"/>
        <v>6594</v>
      </c>
      <c r="L145" s="872"/>
      <c r="X145" s="20"/>
      <c r="Z145" s="20"/>
    </row>
    <row r="146" spans="3:26" x14ac:dyDescent="0.2">
      <c r="G146" s="879" t="s">
        <v>158</v>
      </c>
      <c r="H146" s="295" t="s">
        <v>28</v>
      </c>
      <c r="I146" s="296">
        <f t="shared" si="30"/>
        <v>92335</v>
      </c>
      <c r="J146" s="296">
        <f t="shared" si="30"/>
        <v>92335</v>
      </c>
      <c r="K146" s="867">
        <f t="shared" si="30"/>
        <v>0</v>
      </c>
      <c r="L146" s="868"/>
      <c r="X146" s="20"/>
      <c r="Z146" s="20"/>
    </row>
    <row r="147" spans="3:26" x14ac:dyDescent="0.2">
      <c r="G147" s="880"/>
      <c r="H147" s="297" t="s">
        <v>80</v>
      </c>
      <c r="I147" s="301">
        <f t="shared" si="30"/>
        <v>6109</v>
      </c>
      <c r="J147" s="301">
        <f t="shared" si="30"/>
        <v>6109</v>
      </c>
      <c r="K147" s="869">
        <f t="shared" si="30"/>
        <v>0</v>
      </c>
      <c r="L147" s="870"/>
      <c r="X147" s="20"/>
      <c r="Z147" s="20"/>
    </row>
    <row r="148" spans="3:26" x14ac:dyDescent="0.2">
      <c r="G148" s="880"/>
      <c r="H148" s="297" t="s">
        <v>61</v>
      </c>
      <c r="I148" s="301">
        <f t="shared" si="30"/>
        <v>7726</v>
      </c>
      <c r="J148" s="301">
        <f t="shared" si="30"/>
        <v>7726</v>
      </c>
      <c r="K148" s="869">
        <f t="shared" si="30"/>
        <v>0</v>
      </c>
      <c r="L148" s="870"/>
      <c r="X148" s="20"/>
      <c r="Z148" s="20"/>
    </row>
    <row r="149" spans="3:26" x14ac:dyDescent="0.2">
      <c r="G149" s="880"/>
      <c r="H149" s="297" t="s">
        <v>156</v>
      </c>
      <c r="I149" s="301">
        <f t="shared" si="30"/>
        <v>38756</v>
      </c>
      <c r="J149" s="301">
        <f t="shared" si="30"/>
        <v>38756</v>
      </c>
      <c r="K149" s="869">
        <f t="shared" si="30"/>
        <v>0</v>
      </c>
      <c r="L149" s="870"/>
      <c r="X149" s="20"/>
      <c r="Z149" s="20"/>
    </row>
    <row r="150" spans="3:26" ht="13.5" thickBot="1" x14ac:dyDescent="0.25">
      <c r="G150" s="881"/>
      <c r="H150" s="299" t="s">
        <v>157</v>
      </c>
      <c r="I150" s="302">
        <f t="shared" si="30"/>
        <v>1700</v>
      </c>
      <c r="J150" s="302">
        <f t="shared" si="30"/>
        <v>1438</v>
      </c>
      <c r="K150" s="871">
        <f t="shared" si="30"/>
        <v>262</v>
      </c>
      <c r="L150" s="872"/>
      <c r="X150" s="20"/>
      <c r="Z150" s="20"/>
    </row>
    <row r="151" spans="3:26" ht="15.75" thickBot="1" x14ac:dyDescent="0.25">
      <c r="G151" s="847" t="s">
        <v>162</v>
      </c>
      <c r="H151" s="873"/>
      <c r="I151" s="303">
        <f t="shared" si="30"/>
        <v>300000</v>
      </c>
      <c r="J151" s="303">
        <f t="shared" si="30"/>
        <v>108136</v>
      </c>
      <c r="K151" s="874">
        <f>I151-J151</f>
        <v>191864</v>
      </c>
      <c r="L151" s="873"/>
      <c r="X151" s="20"/>
      <c r="Z151" s="20"/>
    </row>
    <row r="152" spans="3:26" ht="15.75" thickBot="1" x14ac:dyDescent="0.3">
      <c r="G152" s="875" t="s">
        <v>163</v>
      </c>
      <c r="H152" s="876"/>
      <c r="I152" s="304">
        <f>SUM(I141:I150)</f>
        <v>462100</v>
      </c>
      <c r="J152" s="304">
        <f>SUM(J141:J150)</f>
        <v>385713</v>
      </c>
      <c r="K152" s="877">
        <f>SUM(K141:L150)</f>
        <v>76387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J156" s="307">
        <v>28391</v>
      </c>
      <c r="Q156" s="20">
        <v>8815</v>
      </c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H158" s="307" t="s">
        <v>249</v>
      </c>
      <c r="I158" s="307">
        <v>20500</v>
      </c>
      <c r="J158" s="18">
        <f>I158/I162</f>
        <v>0.46345488662310946</v>
      </c>
      <c r="L158" s="80">
        <f>J156*$J$158</f>
        <v>13157.9476861167</v>
      </c>
      <c r="N158" s="20" t="s">
        <v>256</v>
      </c>
      <c r="P158" s="20">
        <v>360</v>
      </c>
      <c r="Q158" s="20">
        <v>4733</v>
      </c>
      <c r="R158" s="18">
        <f>Q158/Q162</f>
        <v>0.34464428748270587</v>
      </c>
      <c r="S158" s="18"/>
      <c r="T158" s="80">
        <f>Q156*R158</f>
        <v>3038.0393941600523</v>
      </c>
      <c r="X158" s="20"/>
      <c r="Z158" s="20"/>
    </row>
    <row r="159" spans="3:26" x14ac:dyDescent="0.2">
      <c r="C159" s="20"/>
      <c r="F159" s="20"/>
      <c r="H159" s="307" t="s">
        <v>250</v>
      </c>
      <c r="I159" s="307">
        <v>13733</v>
      </c>
      <c r="J159" s="18">
        <f>I159/I162</f>
        <v>0.31046955892659328</v>
      </c>
      <c r="L159" s="80">
        <f>J156*$J$159</f>
        <v>8814.541247484909</v>
      </c>
      <c r="P159" s="20">
        <v>361</v>
      </c>
      <c r="Q159" s="20">
        <v>1500</v>
      </c>
      <c r="R159" s="18">
        <f>Q159/Q162</f>
        <v>0.10922595208621569</v>
      </c>
      <c r="S159" s="18"/>
      <c r="T159" s="80">
        <f>Q156*R159</f>
        <v>962.82676763999132</v>
      </c>
      <c r="X159" s="20"/>
      <c r="Z159" s="20"/>
    </row>
    <row r="160" spans="3:26" x14ac:dyDescent="0.2">
      <c r="C160" s="20"/>
      <c r="F160" s="20"/>
      <c r="H160" s="307" t="s">
        <v>251</v>
      </c>
      <c r="I160" s="307">
        <v>10000</v>
      </c>
      <c r="J160" s="18">
        <f>I160/I162</f>
        <v>0.22607555445029728</v>
      </c>
      <c r="L160" s="80">
        <f>J156*$J$160</f>
        <v>6418.5110663983905</v>
      </c>
      <c r="P160" s="20">
        <v>363</v>
      </c>
      <c r="Q160" s="20">
        <v>7500</v>
      </c>
      <c r="R160" s="18">
        <f>Q160/Q162</f>
        <v>0.54612976043107841</v>
      </c>
      <c r="S160" s="18"/>
      <c r="T160" s="80">
        <f>Q156*R160</f>
        <v>4814.1338381999558</v>
      </c>
      <c r="X160" s="20"/>
      <c r="Z160" s="20"/>
    </row>
    <row r="161" spans="3:26" x14ac:dyDescent="0.2">
      <c r="C161" s="20"/>
      <c r="F161" s="20"/>
      <c r="J161" s="20"/>
      <c r="X161" s="20"/>
      <c r="Z161" s="20"/>
    </row>
    <row r="162" spans="3:26" x14ac:dyDescent="0.2">
      <c r="C162" s="20"/>
      <c r="F162" s="20"/>
      <c r="I162" s="307">
        <f>SUM(I158:I160)</f>
        <v>44233</v>
      </c>
      <c r="J162" s="20"/>
      <c r="Q162" s="20">
        <f>SUM(Q158:Q160)</f>
        <v>13733</v>
      </c>
      <c r="X162" s="20"/>
      <c r="Z162" s="20"/>
    </row>
    <row r="163" spans="3:26" x14ac:dyDescent="0.2">
      <c r="C163" s="20"/>
      <c r="F163" s="20"/>
      <c r="J163" s="20"/>
      <c r="X163" s="20"/>
      <c r="Z163" s="20"/>
    </row>
    <row r="164" spans="3:26" x14ac:dyDescent="0.2">
      <c r="C164" s="20"/>
      <c r="F164" s="20"/>
      <c r="J164" s="20"/>
      <c r="X164" s="20"/>
      <c r="Z164" s="20"/>
    </row>
    <row r="165" spans="3:26" x14ac:dyDescent="0.2">
      <c r="C165" s="20"/>
      <c r="F165" s="20"/>
      <c r="H165" s="458"/>
      <c r="I165" s="459" t="s">
        <v>252</v>
      </c>
      <c r="J165" s="78">
        <v>14260</v>
      </c>
      <c r="K165" s="78"/>
      <c r="P165" s="20" t="s">
        <v>254</v>
      </c>
      <c r="Q165" s="20">
        <v>6506</v>
      </c>
      <c r="X165" s="20"/>
      <c r="Z165" s="20"/>
    </row>
    <row r="166" spans="3:26" x14ac:dyDescent="0.2">
      <c r="C166" s="20"/>
      <c r="F166" s="20"/>
      <c r="H166" s="458" t="s">
        <v>253</v>
      </c>
      <c r="J166" s="20"/>
      <c r="N166" s="20" t="s">
        <v>255</v>
      </c>
      <c r="X166" s="20"/>
      <c r="Z166" s="20"/>
    </row>
    <row r="167" spans="3:26" x14ac:dyDescent="0.2">
      <c r="C167" s="20"/>
      <c r="F167" s="20"/>
      <c r="H167" s="458">
        <v>355</v>
      </c>
      <c r="I167" s="307">
        <v>5205</v>
      </c>
      <c r="J167" s="18">
        <f>I167/I170</f>
        <v>0.22430510665804784</v>
      </c>
      <c r="K167" s="80">
        <f>J165*J167</f>
        <v>3198.5908209437621</v>
      </c>
      <c r="N167" s="20">
        <v>364</v>
      </c>
      <c r="P167" s="20">
        <v>3600</v>
      </c>
      <c r="Q167" s="461">
        <f>P167/P170</f>
        <v>0.34003967129498441</v>
      </c>
      <c r="R167" s="80">
        <f>Q165*Q167</f>
        <v>2212.2981014451684</v>
      </c>
      <c r="X167" s="20"/>
      <c r="Z167" s="20"/>
    </row>
    <row r="168" spans="3:26" x14ac:dyDescent="0.2">
      <c r="C168" s="20"/>
      <c r="F168" s="20"/>
      <c r="H168" s="458">
        <v>356</v>
      </c>
      <c r="I168" s="307">
        <v>18000</v>
      </c>
      <c r="J168" s="18">
        <f>I168/I170</f>
        <v>0.77569489334195219</v>
      </c>
      <c r="K168" s="80">
        <f>J165*J168</f>
        <v>11061.409179056238</v>
      </c>
      <c r="N168" s="20">
        <v>365</v>
      </c>
      <c r="P168" s="20">
        <v>6000</v>
      </c>
      <c r="Q168" s="461">
        <f>P168/P170</f>
        <v>0.56673278549164074</v>
      </c>
      <c r="R168" s="80">
        <f>Q165*Q168</f>
        <v>3687.1635024086145</v>
      </c>
      <c r="X168" s="20"/>
      <c r="Z168" s="20"/>
    </row>
    <row r="169" spans="3:26" x14ac:dyDescent="0.2">
      <c r="C169" s="20"/>
      <c r="F169" s="20"/>
      <c r="H169" s="460"/>
      <c r="J169" s="20"/>
      <c r="N169" s="20" t="s">
        <v>257</v>
      </c>
      <c r="P169" s="20">
        <v>987</v>
      </c>
      <c r="Q169" s="461">
        <f>P169/P170</f>
        <v>9.3227543213374897E-2</v>
      </c>
      <c r="R169" s="80">
        <f>Q165*Q169</f>
        <v>606.53839614621711</v>
      </c>
      <c r="X169" s="20"/>
      <c r="Z169" s="20"/>
    </row>
    <row r="170" spans="3:26" x14ac:dyDescent="0.2">
      <c r="C170" s="20"/>
      <c r="F170" s="20"/>
      <c r="H170" s="458"/>
      <c r="I170" s="458">
        <f>SUM(I167:I168)</f>
        <v>23205</v>
      </c>
      <c r="J170" s="78"/>
      <c r="K170" s="78"/>
      <c r="P170" s="20">
        <f>SUM(P167:P169)</f>
        <v>10587</v>
      </c>
      <c r="X170" s="20"/>
      <c r="Z170" s="20"/>
    </row>
    <row r="171" spans="3:26" ht="15" x14ac:dyDescent="0.25">
      <c r="C171" s="20"/>
      <c r="F171" s="20"/>
      <c r="G171" s="305"/>
      <c r="H171" s="306"/>
      <c r="J171" s="20"/>
      <c r="X171" s="20"/>
      <c r="Z171" s="20"/>
    </row>
    <row r="172" spans="3:26" x14ac:dyDescent="0.2">
      <c r="C172" s="20"/>
      <c r="F172" s="20"/>
      <c r="J172" s="20"/>
      <c r="X172" s="20"/>
      <c r="Z172" s="20"/>
    </row>
    <row r="173" spans="3:26" x14ac:dyDescent="0.2">
      <c r="C173" s="20"/>
      <c r="F173" s="20"/>
      <c r="J173" s="20"/>
      <c r="X173" s="20"/>
      <c r="Z173" s="20"/>
    </row>
  </sheetData>
  <autoFilter ref="A1:AN152">
    <filterColumn colId="27" showButton="0"/>
    <filterColumn colId="28" showButton="0"/>
    <filterColumn colId="29" showButton="0"/>
  </autoFilter>
  <mergeCells count="87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A113:A114"/>
    <mergeCell ref="B113:B114"/>
    <mergeCell ref="G113:H113"/>
    <mergeCell ref="I113:L113"/>
    <mergeCell ref="K114:L114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G125:H125"/>
    <mergeCell ref="K125:L125"/>
    <mergeCell ref="G126:H126"/>
    <mergeCell ref="I126:L126"/>
    <mergeCell ref="K127:L127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</mergeCells>
  <conditionalFormatting sqref="AA78">
    <cfRule type="cellIs" dxfId="194" priority="3" operator="lessThan">
      <formula>$AA$78</formula>
    </cfRule>
    <cfRule type="cellIs" dxfId="193" priority="5" operator="greaterThan">
      <formula>$AE$78</formula>
    </cfRule>
  </conditionalFormatting>
  <conditionalFormatting sqref="AA79">
    <cfRule type="cellIs" dxfId="192" priority="4" operator="greaterThan">
      <formula>$AE$79</formula>
    </cfRule>
  </conditionalFormatting>
  <conditionalFormatting sqref="AA80">
    <cfRule type="cellIs" dxfId="191" priority="2" operator="greaterThan">
      <formula>$AE$79</formula>
    </cfRule>
  </conditionalFormatting>
  <conditionalFormatting sqref="AU4:AU23">
    <cfRule type="cellIs" dxfId="190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00B0F0"/>
  </sheetPr>
  <dimension ref="A1:AU173"/>
  <sheetViews>
    <sheetView topLeftCell="D1" zoomScale="90" zoomScaleNormal="90" workbookViewId="0">
      <selection activeCell="AA9" sqref="AA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209945</v>
      </c>
      <c r="M2" s="29"/>
      <c r="N2" s="798">
        <f>SUM(K2:K26)</f>
        <v>226300</v>
      </c>
      <c r="O2" s="30">
        <f>+K2/$N$2</f>
        <v>1.3256738842244807E-2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209945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577" t="s">
        <v>31</v>
      </c>
      <c r="AE2" s="577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208845</v>
      </c>
      <c r="M3" s="29"/>
      <c r="N3" s="799"/>
      <c r="O3" s="30">
        <f t="shared" ref="O3:O29" si="2">+K3/$N$2</f>
        <v>4.8608042421564293E-3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208845</v>
      </c>
      <c r="X3" s="32">
        <f t="shared" ref="X3:X56" si="9">W3-L3</f>
        <v>0</v>
      </c>
      <c r="Y3" s="37" t="s">
        <v>34</v>
      </c>
      <c r="Z3" s="38">
        <f>ROUND((Z13*57%),0)</f>
        <v>283062</v>
      </c>
      <c r="AA3" s="39">
        <f>ROUND((+Z14*0.57),0)</f>
        <v>282277</v>
      </c>
      <c r="AB3" s="454">
        <v>87098</v>
      </c>
      <c r="AC3" s="455">
        <v>170024</v>
      </c>
      <c r="AD3" s="40">
        <f>AA3-AB3-AC3+45</f>
        <v>25200</v>
      </c>
      <c r="AE3" s="41">
        <f>SUM(AB3:AD3)</f>
        <v>282322</v>
      </c>
      <c r="AF3" s="41">
        <f>AA3-AE3</f>
        <v>-45</v>
      </c>
      <c r="AG3" s="42">
        <f>AA3-AB3-AC3-AD3</f>
        <v>-45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186445</v>
      </c>
      <c r="M4" s="29"/>
      <c r="N4" s="799"/>
      <c r="O4" s="30">
        <f t="shared" si="2"/>
        <v>9.8983650022094569E-2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186445</v>
      </c>
      <c r="X4" s="32">
        <f t="shared" si="9"/>
        <v>0</v>
      </c>
      <c r="Y4" s="37" t="s">
        <v>38</v>
      </c>
      <c r="Z4" s="38">
        <f>ROUND((Z13*43%),0)</f>
        <v>213538</v>
      </c>
      <c r="AA4" s="39">
        <f>ROUND((+Z14*0.43),0)</f>
        <v>212945</v>
      </c>
      <c r="AB4" s="43">
        <f>T105</f>
        <v>56330</v>
      </c>
      <c r="AC4" s="43">
        <f>S105</f>
        <v>156615</v>
      </c>
      <c r="AD4" s="40">
        <f>U105</f>
        <v>0</v>
      </c>
      <c r="AE4" s="41">
        <f>SUM(AB4:AD4)</f>
        <v>212945</v>
      </c>
      <c r="AF4" s="41">
        <f>AA4-AE4</f>
        <v>0</v>
      </c>
      <c r="AG4" s="42">
        <f>AA4-AB4-AC4-AD4</f>
        <v>0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185245</v>
      </c>
      <c r="M5" s="29"/>
      <c r="N5" s="799"/>
      <c r="O5" s="30">
        <f t="shared" si="2"/>
        <v>5.3026955368979233E-3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185245</v>
      </c>
      <c r="X5" s="32">
        <f t="shared" si="9"/>
        <v>0</v>
      </c>
      <c r="Y5" s="44" t="s">
        <v>41</v>
      </c>
      <c r="Z5" s="38">
        <f>SUM(Z3:Z4)</f>
        <v>496600</v>
      </c>
      <c r="AA5" s="45">
        <f>SUM(AA3:AA4)</f>
        <v>495222</v>
      </c>
      <c r="AB5" s="46">
        <f>SUM(AB3:AB4)</f>
        <v>143428</v>
      </c>
      <c r="AC5" s="41">
        <f>SUM(AC3:AC4)</f>
        <v>326639</v>
      </c>
      <c r="AD5" s="40">
        <f>SUM(AD3:AD4)</f>
        <v>25200</v>
      </c>
      <c r="AE5" s="41">
        <f>SUM(AB5:AD5)</f>
        <v>495267</v>
      </c>
      <c r="AF5" s="47">
        <f>SUM(AF3:AF4)</f>
        <v>-45</v>
      </c>
      <c r="AG5" s="47">
        <f>SUM(AG3:AG4)</f>
        <v>-45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173245</v>
      </c>
      <c r="M6" s="29"/>
      <c r="N6" s="799"/>
      <c r="O6" s="30">
        <f t="shared" si="2"/>
        <v>5.302695536897923E-2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173245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v>130500</v>
      </c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12370+1796</f>
        <v>14166</v>
      </c>
      <c r="I7" s="518">
        <f>2430+604+800</f>
        <v>3834</v>
      </c>
      <c r="J7" s="26"/>
      <c r="K7" s="27">
        <f t="shared" si="0"/>
        <v>18000</v>
      </c>
      <c r="L7" s="28">
        <f t="shared" si="1"/>
        <v>155245</v>
      </c>
      <c r="M7" s="29"/>
      <c r="N7" s="799"/>
      <c r="O7" s="30">
        <f t="shared" si="2"/>
        <v>7.9540433053468848E-2</v>
      </c>
      <c r="P7" s="802"/>
      <c r="Q7" s="31">
        <f t="shared" si="3"/>
        <v>0</v>
      </c>
      <c r="R7" s="31"/>
      <c r="S7" s="28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155245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152745</v>
      </c>
      <c r="M8" s="29"/>
      <c r="N8" s="799"/>
      <c r="O8" s="30">
        <f t="shared" si="2"/>
        <v>1.104728236853734E-2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152745</v>
      </c>
      <c r="X8" s="32">
        <f t="shared" si="9"/>
        <v>0</v>
      </c>
      <c r="Y8" s="14" t="s">
        <v>47</v>
      </c>
      <c r="Z8" s="54">
        <v>41917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1232</v>
      </c>
      <c r="I9" s="518">
        <v>968</v>
      </c>
      <c r="J9" s="26"/>
      <c r="K9" s="27">
        <f t="shared" si="0"/>
        <v>2200</v>
      </c>
      <c r="L9" s="28">
        <f t="shared" si="1"/>
        <v>150545</v>
      </c>
      <c r="M9" s="29"/>
      <c r="N9" s="799"/>
      <c r="O9" s="30">
        <f t="shared" si="2"/>
        <v>9.7216084843128586E-3</v>
      </c>
      <c r="P9" s="802"/>
      <c r="Q9" s="31">
        <f t="shared" si="3"/>
        <v>0</v>
      </c>
      <c r="R9" s="31"/>
      <c r="S9" s="28">
        <f t="shared" si="4"/>
        <v>1232</v>
      </c>
      <c r="T9" s="28">
        <f t="shared" si="5"/>
        <v>968</v>
      </c>
      <c r="U9" s="28">
        <f t="shared" si="6"/>
        <v>0</v>
      </c>
      <c r="V9" s="28">
        <f t="shared" si="7"/>
        <v>2200</v>
      </c>
      <c r="W9" s="31">
        <f t="shared" si="8"/>
        <v>150545</v>
      </c>
      <c r="X9" s="32">
        <f t="shared" si="9"/>
        <v>0</v>
      </c>
      <c r="Y9" s="14" t="s">
        <v>189</v>
      </c>
      <c r="Z9" s="58">
        <f>496600-AB9</f>
        <v>496600</v>
      </c>
      <c r="AA9" s="59">
        <f>Z9*14.65/14.73</f>
        <v>493902.91921249148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-144800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20000</v>
      </c>
      <c r="I10" s="26"/>
      <c r="J10" s="26"/>
      <c r="K10" s="27">
        <f t="shared" si="0"/>
        <v>20000</v>
      </c>
      <c r="L10" s="28">
        <f t="shared" si="1"/>
        <v>130545</v>
      </c>
      <c r="M10" s="29"/>
      <c r="N10" s="799"/>
      <c r="O10" s="30">
        <f t="shared" si="2"/>
        <v>8.8378258948298719E-2</v>
      </c>
      <c r="P10" s="802"/>
      <c r="Q10" s="31">
        <f t="shared" si="3"/>
        <v>0</v>
      </c>
      <c r="R10" s="31">
        <v>0</v>
      </c>
      <c r="S10" s="28">
        <f t="shared" si="4"/>
        <v>20000</v>
      </c>
      <c r="T10" s="28">
        <f t="shared" si="5"/>
        <v>0</v>
      </c>
      <c r="U10" s="28">
        <f t="shared" si="6"/>
        <v>0</v>
      </c>
      <c r="V10" s="28">
        <f t="shared" si="7"/>
        <v>20000</v>
      </c>
      <c r="W10" s="31">
        <f t="shared" si="8"/>
        <v>130545</v>
      </c>
      <c r="X10" s="32">
        <f t="shared" si="9"/>
        <v>0</v>
      </c>
      <c r="Y10" s="14" t="s">
        <v>191</v>
      </c>
      <c r="Z10" s="58">
        <f>ROUND((Z9*Z30),0)</f>
        <v>495222</v>
      </c>
      <c r="AA10" s="59">
        <f>Z10*14.65/14.73</f>
        <v>492532.4032586558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112545</v>
      </c>
      <c r="M11" s="29"/>
      <c r="N11" s="799"/>
      <c r="O11" s="30">
        <f t="shared" si="2"/>
        <v>7.9540433053468848E-2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112545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-71699.999999999985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26"/>
      <c r="I12" s="518">
        <v>3600</v>
      </c>
      <c r="J12" s="26"/>
      <c r="K12" s="27">
        <f t="shared" si="0"/>
        <v>3600</v>
      </c>
      <c r="L12" s="28">
        <f t="shared" si="1"/>
        <v>108945</v>
      </c>
      <c r="M12" s="29"/>
      <c r="N12" s="799"/>
      <c r="O12" s="30">
        <f t="shared" si="2"/>
        <v>1.5908086610693768E-2</v>
      </c>
      <c r="P12" s="802"/>
      <c r="Q12" s="31">
        <f t="shared" si="3"/>
        <v>0</v>
      </c>
      <c r="R12" s="31">
        <v>0</v>
      </c>
      <c r="S12" s="28">
        <f t="shared" si="4"/>
        <v>0</v>
      </c>
      <c r="T12" s="28">
        <f t="shared" si="5"/>
        <v>3600</v>
      </c>
      <c r="U12" s="28">
        <f t="shared" si="6"/>
        <v>0</v>
      </c>
      <c r="V12" s="28">
        <f t="shared" si="7"/>
        <v>3600</v>
      </c>
      <c r="W12" s="31">
        <f t="shared" si="8"/>
        <v>108945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26"/>
      <c r="I13" s="518">
        <v>6000</v>
      </c>
      <c r="J13" s="26"/>
      <c r="K13" s="27">
        <f t="shared" si="0"/>
        <v>6000</v>
      </c>
      <c r="L13" s="28">
        <f t="shared" si="1"/>
        <v>102945</v>
      </c>
      <c r="M13" s="29"/>
      <c r="N13" s="799"/>
      <c r="O13" s="30">
        <f t="shared" si="2"/>
        <v>2.6513477684489615E-2</v>
      </c>
      <c r="P13" s="802"/>
      <c r="Q13" s="31">
        <f t="shared" si="3"/>
        <v>0</v>
      </c>
      <c r="R13" s="31">
        <v>0</v>
      </c>
      <c r="S13" s="28">
        <f t="shared" si="4"/>
        <v>0</v>
      </c>
      <c r="T13" s="28">
        <f t="shared" si="5"/>
        <v>6000</v>
      </c>
      <c r="U13" s="28">
        <f t="shared" si="6"/>
        <v>0</v>
      </c>
      <c r="V13" s="28">
        <f t="shared" si="7"/>
        <v>6000</v>
      </c>
      <c r="W13" s="31">
        <f t="shared" si="8"/>
        <v>102945</v>
      </c>
      <c r="X13" s="32">
        <f t="shared" si="9"/>
        <v>0</v>
      </c>
      <c r="Y13" s="14" t="s">
        <v>67</v>
      </c>
      <c r="Z13" s="67">
        <f>Z14/Z30</f>
        <v>496599.52441635431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17200</v>
      </c>
      <c r="I14" s="26">
        <v>0</v>
      </c>
      <c r="J14" s="26"/>
      <c r="K14" s="27">
        <f t="shared" si="0"/>
        <v>17200</v>
      </c>
      <c r="L14" s="28">
        <f t="shared" si="1"/>
        <v>85745</v>
      </c>
      <c r="M14" s="29"/>
      <c r="N14" s="799"/>
      <c r="O14" s="30">
        <f t="shared" si="2"/>
        <v>7.6005302695536903E-2</v>
      </c>
      <c r="P14" s="802"/>
      <c r="Q14" s="31">
        <f t="shared" si="3"/>
        <v>0</v>
      </c>
      <c r="R14" s="31">
        <v>0</v>
      </c>
      <c r="S14" s="28">
        <f t="shared" si="4"/>
        <v>17200</v>
      </c>
      <c r="T14" s="28">
        <f t="shared" si="5"/>
        <v>0</v>
      </c>
      <c r="U14" s="28">
        <f t="shared" si="6"/>
        <v>0</v>
      </c>
      <c r="V14" s="28">
        <f t="shared" si="7"/>
        <v>17200</v>
      </c>
      <c r="W14" s="31">
        <f t="shared" si="8"/>
        <v>85745</v>
      </c>
      <c r="X14" s="32">
        <f t="shared" si="9"/>
        <v>0</v>
      </c>
      <c r="Y14" s="14" t="s">
        <v>70</v>
      </c>
      <c r="Z14" s="67">
        <f>+Z10-(Z11+Z12)</f>
        <v>495222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68545</v>
      </c>
      <c r="M15" s="29"/>
      <c r="N15" s="799"/>
      <c r="O15" s="30">
        <f t="shared" si="2"/>
        <v>7.6005302695536903E-2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68545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48045</v>
      </c>
      <c r="M16" s="29"/>
      <c r="N16" s="799"/>
      <c r="O16" s="30">
        <f t="shared" si="2"/>
        <v>9.0587715422006193E-2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48045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59">
        <v>626</v>
      </c>
      <c r="I17" s="559">
        <v>5094</v>
      </c>
      <c r="J17" s="26"/>
      <c r="K17" s="27">
        <f t="shared" si="0"/>
        <v>5720</v>
      </c>
      <c r="L17" s="28">
        <f t="shared" si="1"/>
        <v>42325</v>
      </c>
      <c r="M17" s="29"/>
      <c r="N17" s="799"/>
      <c r="O17" s="30">
        <f t="shared" si="2"/>
        <v>2.5276182059213434E-2</v>
      </c>
      <c r="P17" s="802"/>
      <c r="Q17" s="31">
        <f t="shared" si="3"/>
        <v>0</v>
      </c>
      <c r="R17" s="31">
        <v>0</v>
      </c>
      <c r="S17" s="28">
        <f t="shared" si="4"/>
        <v>626</v>
      </c>
      <c r="T17" s="28">
        <f t="shared" si="5"/>
        <v>5094</v>
      </c>
      <c r="U17" s="28">
        <f t="shared" si="6"/>
        <v>0</v>
      </c>
      <c r="V17" s="28">
        <f t="shared" si="7"/>
        <v>5720</v>
      </c>
      <c r="W17" s="31">
        <f t="shared" si="8"/>
        <v>42325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59">
        <v>280</v>
      </c>
      <c r="J18" s="26"/>
      <c r="K18" s="27">
        <f t="shared" si="0"/>
        <v>280</v>
      </c>
      <c r="L18" s="28">
        <f t="shared" si="1"/>
        <v>42045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280</v>
      </c>
      <c r="U18" s="28">
        <f t="shared" si="6"/>
        <v>0</v>
      </c>
      <c r="V18" s="28">
        <f t="shared" si="7"/>
        <v>280</v>
      </c>
      <c r="W18" s="31">
        <f t="shared" si="8"/>
        <v>42045</v>
      </c>
      <c r="X18" s="32"/>
      <c r="Y18" s="14" t="s">
        <v>77</v>
      </c>
      <c r="Z18" s="71">
        <f>ROUND(Z14*0.43,0)</f>
        <v>212945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>
        <v>0</v>
      </c>
      <c r="I19" s="26"/>
      <c r="J19" s="26"/>
      <c r="K19" s="27">
        <f t="shared" si="0"/>
        <v>0</v>
      </c>
      <c r="L19" s="28">
        <f t="shared" si="1"/>
        <v>42045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42045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59">
        <v>0</v>
      </c>
      <c r="I20" s="26">
        <v>0</v>
      </c>
      <c r="J20" s="26"/>
      <c r="K20" s="27">
        <f t="shared" si="0"/>
        <v>0</v>
      </c>
      <c r="L20" s="28">
        <f t="shared" si="1"/>
        <v>42045</v>
      </c>
      <c r="M20" s="29"/>
      <c r="N20" s="799"/>
      <c r="O20" s="30">
        <f t="shared" si="2"/>
        <v>0</v>
      </c>
      <c r="P20" s="802"/>
      <c r="Q20" s="31">
        <f t="shared" si="3"/>
        <v>0</v>
      </c>
      <c r="R20" s="31">
        <v>0</v>
      </c>
      <c r="S20" s="28">
        <f t="shared" si="4"/>
        <v>0</v>
      </c>
      <c r="T20" s="28">
        <f t="shared" si="5"/>
        <v>0</v>
      </c>
      <c r="U20" s="28">
        <f t="shared" si="6"/>
        <v>0</v>
      </c>
      <c r="V20" s="28">
        <f t="shared" si="7"/>
        <v>0</v>
      </c>
      <c r="W20" s="31">
        <f t="shared" si="8"/>
        <v>42045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559">
        <v>1500</v>
      </c>
      <c r="J21" s="26"/>
      <c r="K21" s="27">
        <f t="shared" si="0"/>
        <v>1500</v>
      </c>
      <c r="L21" s="28">
        <f t="shared" si="1"/>
        <v>40545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1500</v>
      </c>
      <c r="U21" s="28">
        <f t="shared" si="6"/>
        <v>0</v>
      </c>
      <c r="V21" s="28">
        <f t="shared" si="7"/>
        <v>1500</v>
      </c>
      <c r="W21" s="31">
        <f t="shared" si="8"/>
        <v>40545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33045</v>
      </c>
      <c r="M22" s="29"/>
      <c r="N22" s="799"/>
      <c r="O22" s="30">
        <f t="shared" si="2"/>
        <v>3.3141847105612021E-2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33045</v>
      </c>
      <c r="X22" s="32">
        <f t="shared" si="9"/>
        <v>0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33045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33045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33045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33045</v>
      </c>
      <c r="X24" s="32">
        <f t="shared" si="9"/>
        <v>0</v>
      </c>
      <c r="Y24" s="74" t="s">
        <v>169</v>
      </c>
      <c r="Z24" s="75">
        <f>+Z18+Z19</f>
        <v>212945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21045</v>
      </c>
      <c r="M25" s="29"/>
      <c r="N25" s="799"/>
      <c r="O25" s="30">
        <f t="shared" si="2"/>
        <v>5.302695536897923E-2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88" si="11">+W24-V25</f>
        <v>21045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-13355</v>
      </c>
      <c r="M26" s="86"/>
      <c r="N26" s="800"/>
      <c r="O26" s="87">
        <f t="shared" si="2"/>
        <v>0.15201060539107381</v>
      </c>
      <c r="P26" s="803"/>
      <c r="Q26" s="144">
        <f t="shared" si="3"/>
        <v>0</v>
      </c>
      <c r="R26" s="144">
        <v>-34400</v>
      </c>
      <c r="S26" s="423">
        <f t="shared" si="4"/>
        <v>0</v>
      </c>
      <c r="T26" s="423">
        <f t="shared" si="5"/>
        <v>0</v>
      </c>
      <c r="U26" s="423">
        <f t="shared" si="6"/>
        <v>0</v>
      </c>
      <c r="V26" s="423">
        <f t="shared" si="7"/>
        <v>0</v>
      </c>
      <c r="W26" s="31">
        <f t="shared" si="11"/>
        <v>21045</v>
      </c>
      <c r="X26" s="32">
        <f t="shared" si="9"/>
        <v>34400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-13355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1"/>
        <v>21045</v>
      </c>
      <c r="X27" s="32">
        <f t="shared" si="9"/>
        <v>34400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-13355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21045</v>
      </c>
      <c r="X28" s="32">
        <f t="shared" si="9"/>
        <v>34400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-13355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21045</v>
      </c>
      <c r="X29" s="32">
        <f t="shared" si="9"/>
        <v>34400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-13355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21045</v>
      </c>
      <c r="X30" s="32">
        <f t="shared" si="9"/>
        <v>34400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-13355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21045</v>
      </c>
      <c r="X31" s="32">
        <f t="shared" si="9"/>
        <v>34400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-13355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21045</v>
      </c>
      <c r="X32" s="32">
        <f t="shared" si="9"/>
        <v>34400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-13355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21045</v>
      </c>
      <c r="X33" s="32">
        <f t="shared" si="9"/>
        <v>34400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-13355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21045</v>
      </c>
      <c r="X34" s="32">
        <f t="shared" si="9"/>
        <v>34400</v>
      </c>
      <c r="Y34" s="806"/>
      <c r="Z34" s="112">
        <v>100000</v>
      </c>
      <c r="AA34" s="113">
        <f>AD5-Z34</f>
        <v>-74800</v>
      </c>
      <c r="AB34" s="113">
        <f>Z34+AA34</f>
        <v>25200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-13355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21045</v>
      </c>
      <c r="X35" s="32">
        <f>W35-L35</f>
        <v>34400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-13355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21045</v>
      </c>
      <c r="X36" s="32">
        <f t="shared" si="9"/>
        <v>34400</v>
      </c>
      <c r="Y36" s="117" t="s">
        <v>60</v>
      </c>
      <c r="Z36" s="113">
        <f>Z34*57%</f>
        <v>56999.999999999993</v>
      </c>
      <c r="AA36" s="113">
        <f>AD3-Z36</f>
        <v>-31799.999999999993</v>
      </c>
      <c r="AB36" s="113">
        <f>Z36+AA36</f>
        <v>25200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-13355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21045</v>
      </c>
      <c r="X37" s="32">
        <f t="shared" si="9"/>
        <v>34400</v>
      </c>
      <c r="Y37" s="117" t="s">
        <v>94</v>
      </c>
      <c r="Z37" s="113">
        <f>+Z35+Z36</f>
        <v>100000</v>
      </c>
      <c r="AA37" s="113">
        <f>SUM(AA35:AA36)</f>
        <v>-74800</v>
      </c>
      <c r="AB37" s="113">
        <f>Z37+AA37</f>
        <v>25200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0</v>
      </c>
      <c r="I38" s="26"/>
      <c r="J38" s="26"/>
      <c r="K38" s="27">
        <f t="shared" si="0"/>
        <v>0</v>
      </c>
      <c r="L38" s="28">
        <f>+L37-K38</f>
        <v>-13355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21045</v>
      </c>
      <c r="X38" s="32">
        <f t="shared" si="9"/>
        <v>34400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-13355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21045</v>
      </c>
      <c r="X39" s="32">
        <f t="shared" si="9"/>
        <v>34400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-13355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21045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-13355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21045</v>
      </c>
      <c r="X41" s="32">
        <f t="shared" si="9"/>
        <v>34400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-13355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21045</v>
      </c>
      <c r="X42" s="32">
        <f t="shared" si="9"/>
        <v>34400</v>
      </c>
      <c r="Y42" s="74" t="s">
        <v>96</v>
      </c>
      <c r="Z42" s="75">
        <v>35500</v>
      </c>
      <c r="AA42" s="129">
        <f>+H7+H8+H17+H18+H19+H22+H32+H33+H43+H44+H45+H53</f>
        <v>26792</v>
      </c>
      <c r="AB42" s="129">
        <f>+I7+I8+I17+I18+I19+I22+I32+I33+I43+I44+I45+I53</f>
        <v>9208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-13355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21045</v>
      </c>
      <c r="X43" s="32">
        <f t="shared" si="9"/>
        <v>34400</v>
      </c>
      <c r="Y43" s="131" t="s">
        <v>97</v>
      </c>
      <c r="Z43" s="132">
        <v>50000</v>
      </c>
      <c r="AA43" s="133">
        <f>+H10+H11+H25+H35+H36+H47</f>
        <v>50000</v>
      </c>
      <c r="AB43" s="133">
        <f>+I10+I11+I25+I35+I36+I47</f>
        <v>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-13355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21045</v>
      </c>
      <c r="X44" s="32">
        <f t="shared" si="9"/>
        <v>34400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-13355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21045</v>
      </c>
      <c r="X45" s="32">
        <f t="shared" si="9"/>
        <v>34400</v>
      </c>
      <c r="Y45" s="131" t="s">
        <v>98</v>
      </c>
      <c r="Z45" s="132">
        <v>9600</v>
      </c>
      <c r="AA45" s="133">
        <f>+H12+H13+H37+H38</f>
        <v>0</v>
      </c>
      <c r="AB45" s="133">
        <f>+I12+I13+I37+I38</f>
        <v>9600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-23355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11"/>
        <v>11045</v>
      </c>
      <c r="X46" s="32">
        <f t="shared" si="9"/>
        <v>34400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-23355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11045</v>
      </c>
      <c r="X47" s="32">
        <f t="shared" si="9"/>
        <v>34400</v>
      </c>
      <c r="Y47" s="57">
        <v>20000</v>
      </c>
      <c r="Z47" s="89">
        <v>4586</v>
      </c>
      <c r="AA47" s="35"/>
      <c r="AB47" s="57">
        <f>57000-AA60</f>
        <v>31800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-23355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11045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-23355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11045</v>
      </c>
      <c r="X49" s="32">
        <f t="shared" si="9"/>
        <v>34400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-23355</v>
      </c>
      <c r="M50" s="95"/>
      <c r="N50" s="804">
        <f>SUM(K50:K55)</f>
        <v>32000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11045</v>
      </c>
      <c r="X50" s="32">
        <f t="shared" si="9"/>
        <v>34400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59">
        <v>15000</v>
      </c>
      <c r="J51" s="26"/>
      <c r="K51" s="444">
        <f t="shared" si="0"/>
        <v>15000</v>
      </c>
      <c r="L51" s="28">
        <f t="shared" si="1"/>
        <v>-38355</v>
      </c>
      <c r="M51" s="234"/>
      <c r="N51" s="799"/>
      <c r="O51" s="184"/>
      <c r="P51" s="802"/>
      <c r="Q51" s="31"/>
      <c r="R51" s="31">
        <v>-9823</v>
      </c>
      <c r="S51" s="422">
        <f t="shared" si="4"/>
        <v>0</v>
      </c>
      <c r="T51" s="28">
        <f t="shared" si="5"/>
        <v>5177</v>
      </c>
      <c r="U51" s="28">
        <f t="shared" si="6"/>
        <v>0</v>
      </c>
      <c r="V51" s="28">
        <f t="shared" si="7"/>
        <v>5177</v>
      </c>
      <c r="W51" s="31">
        <f t="shared" si="11"/>
        <v>5868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-38355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5868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59">
        <v>2000</v>
      </c>
      <c r="I53" s="26"/>
      <c r="J53" s="26"/>
      <c r="K53" s="27">
        <f t="shared" si="0"/>
        <v>2000</v>
      </c>
      <c r="L53" s="28">
        <f>+L52-K53</f>
        <v>-40355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>
        <v>-1309</v>
      </c>
      <c r="S53" s="28">
        <f t="shared" si="4"/>
        <v>691</v>
      </c>
      <c r="T53" s="28">
        <f t="shared" si="5"/>
        <v>0</v>
      </c>
      <c r="U53" s="28">
        <f t="shared" si="6"/>
        <v>0</v>
      </c>
      <c r="V53" s="28">
        <f t="shared" si="7"/>
        <v>691</v>
      </c>
      <c r="W53" s="31">
        <f t="shared" si="11"/>
        <v>5177</v>
      </c>
      <c r="X53" s="32">
        <f t="shared" si="9"/>
        <v>45532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-40355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/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5177</v>
      </c>
      <c r="X54" s="32">
        <f t="shared" si="9"/>
        <v>45532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59">
        <v>15000</v>
      </c>
      <c r="J55" s="143"/>
      <c r="K55" s="27">
        <f t="shared" si="0"/>
        <v>15000</v>
      </c>
      <c r="L55" s="28">
        <f t="shared" si="1"/>
        <v>-55355</v>
      </c>
      <c r="M55" s="86"/>
      <c r="N55" s="800"/>
      <c r="O55" s="87">
        <f t="shared" si="12"/>
        <v>1.5</v>
      </c>
      <c r="P55" s="803"/>
      <c r="Q55" s="97">
        <f t="shared" si="13"/>
        <v>0</v>
      </c>
      <c r="R55" s="31">
        <v>-9823</v>
      </c>
      <c r="S55" s="423">
        <f t="shared" si="4"/>
        <v>0</v>
      </c>
      <c r="T55" s="28">
        <f>IF(I55&lt;&gt;0,+I55+Q55+R55,0)</f>
        <v>5177</v>
      </c>
      <c r="U55" s="423">
        <f t="shared" si="6"/>
        <v>0</v>
      </c>
      <c r="V55" s="423">
        <f>+S55+T55+U55</f>
        <v>5177</v>
      </c>
      <c r="W55" s="31">
        <f t="shared" si="11"/>
        <v>0</v>
      </c>
      <c r="X55" s="119">
        <f t="shared" si="9"/>
        <v>55355</v>
      </c>
      <c r="Y55" s="807">
        <f>Z8</f>
        <v>41917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-55355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0</v>
      </c>
      <c r="X56" s="119">
        <f t="shared" si="9"/>
        <v>55355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-55355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-55355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0</v>
      </c>
      <c r="X58" s="408"/>
      <c r="Y58" s="180" t="s">
        <v>7</v>
      </c>
      <c r="Z58" s="181">
        <f>+AB4</f>
        <v>56330</v>
      </c>
      <c r="AA58" s="182">
        <f>+AB3</f>
        <v>87098</v>
      </c>
      <c r="AB58" s="182">
        <f>Z12</f>
        <v>0</v>
      </c>
      <c r="AC58" s="181">
        <f>AB10</f>
        <v>0</v>
      </c>
      <c r="AD58" s="183">
        <f>SUM(Z58:AC58)</f>
        <v>143428</v>
      </c>
      <c r="AE58" s="185">
        <v>90000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-55355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0</v>
      </c>
      <c r="X59" s="408"/>
      <c r="Y59" s="180" t="s">
        <v>17</v>
      </c>
      <c r="Z59" s="182">
        <f>+AC4</f>
        <v>156615</v>
      </c>
      <c r="AA59" s="182">
        <f>AC3</f>
        <v>170024</v>
      </c>
      <c r="AB59" s="182">
        <f>Z11</f>
        <v>0</v>
      </c>
      <c r="AC59" s="181">
        <v>0</v>
      </c>
      <c r="AD59" s="183">
        <f>SUM(Z59:AC59)</f>
        <v>326639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-57680.666666666686</v>
      </c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-55355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0</v>
      </c>
      <c r="X60" s="408"/>
      <c r="Y60" s="180" t="s">
        <v>112</v>
      </c>
      <c r="Z60" s="181">
        <f>+AD4+AH11</f>
        <v>0</v>
      </c>
      <c r="AA60" s="182">
        <f>+AD3+AH10</f>
        <v>25200</v>
      </c>
      <c r="AB60" s="191">
        <v>0</v>
      </c>
      <c r="AC60" s="181">
        <v>0</v>
      </c>
      <c r="AD60" s="183">
        <f>SUM(Z60:AC60)</f>
        <v>25200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-55355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0</v>
      </c>
      <c r="X61" s="408"/>
      <c r="Y61" s="193" t="s">
        <v>113</v>
      </c>
      <c r="Z61" s="194">
        <f>SUM(Z58:Z60)</f>
        <v>212945</v>
      </c>
      <c r="AA61" s="194">
        <f>SUM(AA58:AA60)</f>
        <v>282322</v>
      </c>
      <c r="AB61" s="194">
        <f>SUM(AB58:AB60)</f>
        <v>0</v>
      </c>
      <c r="AC61" s="194">
        <f>AB10</f>
        <v>0</v>
      </c>
      <c r="AD61" s="195">
        <f>SUM(AD58:AD60)</f>
        <v>495267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-55355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0</v>
      </c>
      <c r="X62" s="408"/>
      <c r="Y62" s="199" t="s">
        <v>114</v>
      </c>
      <c r="Z62" s="200">
        <f>(Z58/$Z$28+(Z59/$Z$27)+(Z60/$Z$29))</f>
        <v>213529.20818635088</v>
      </c>
      <c r="AA62" s="200">
        <f>(AA58/$Z$28+(AA59/$Z$27)+(AA60/$Z$29))</f>
        <v>283097.88091341557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496627.08909976651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-55355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0</v>
      </c>
      <c r="X63" s="408"/>
      <c r="Y63" s="368" t="s">
        <v>293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-55355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0</v>
      </c>
      <c r="X64" s="408"/>
      <c r="Y64" s="368" t="s">
        <v>303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-55355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0</v>
      </c>
      <c r="X65" s="408"/>
      <c r="Y65" s="371" t="s">
        <v>115</v>
      </c>
      <c r="Z65" s="484"/>
      <c r="AA65" s="203">
        <v>120228</v>
      </c>
      <c r="AB65" s="204"/>
      <c r="AC65" s="204"/>
      <c r="AD65" s="205"/>
      <c r="AE65" s="32">
        <v>108797.23749999999</v>
      </c>
      <c r="AF65" s="53">
        <f>+AA65-AE65</f>
        <v>11430.762500000012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-55355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0</v>
      </c>
      <c r="X66" s="408"/>
      <c r="Y66" s="814" t="s">
        <v>116</v>
      </c>
      <c r="Z66" s="815"/>
      <c r="AA66" s="203">
        <v>145151</v>
      </c>
      <c r="AB66" s="208"/>
      <c r="AC66" s="208"/>
      <c r="AD66" s="209"/>
      <c r="AE66" s="13">
        <v>52014.378240000005</v>
      </c>
      <c r="AF66" s="53">
        <f>+AA66-AE66</f>
        <v>93136.621759999995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-55355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-55355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0</v>
      </c>
      <c r="X68" s="211"/>
      <c r="Y68" s="814" t="s">
        <v>188</v>
      </c>
      <c r="Z68" s="815"/>
      <c r="AA68" s="207">
        <f>Z9*Z30+AC61</f>
        <v>495222.47426441754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-55355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-55355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0</v>
      </c>
      <c r="X70" s="211"/>
      <c r="Y70" s="213"/>
      <c r="Z70" s="232">
        <f>+Z61-2200</f>
        <v>210745</v>
      </c>
      <c r="AA70" s="213"/>
      <c r="AB70" s="213"/>
      <c r="AC70" s="213"/>
      <c r="AD70" s="233">
        <v>491197</v>
      </c>
      <c r="AE70" s="233">
        <f>+AD70-(Z61+AA61)</f>
        <v>-4070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-55355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-55355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0</v>
      </c>
      <c r="X72" s="211"/>
      <c r="Y72" s="214" t="s">
        <v>47</v>
      </c>
      <c r="Z72" s="215">
        <f>Z8</f>
        <v>41917</v>
      </c>
      <c r="AA72" s="818" t="s">
        <v>118</v>
      </c>
      <c r="AB72" s="818"/>
      <c r="AC72" s="818"/>
      <c r="AD72" s="216">
        <v>0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24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-55355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0</v>
      </c>
      <c r="X73" s="211"/>
      <c r="Y73" s="214" t="s">
        <v>119</v>
      </c>
      <c r="Z73" s="480">
        <f>AD72</f>
        <v>0</v>
      </c>
      <c r="AA73" s="578" t="s">
        <v>120</v>
      </c>
      <c r="AB73" s="578"/>
      <c r="AC73" s="578"/>
      <c r="AD73" s="219">
        <f>24-AD72</f>
        <v>24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21500</v>
      </c>
      <c r="AO73" s="373">
        <f>AN73*AM72/24</f>
        <v>21500</v>
      </c>
      <c r="AP73" s="19">
        <f>21500*AD72/24</f>
        <v>0</v>
      </c>
      <c r="AQ73" s="19">
        <f>21500-AP73</f>
        <v>21500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-55355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579" t="s">
        <v>127</v>
      </c>
      <c r="AK74" s="819"/>
      <c r="AL74" s="819"/>
      <c r="AM74" s="20" t="s">
        <v>232</v>
      </c>
      <c r="AN74" s="19">
        <f>Z79-AN73</f>
        <v>-21500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-55355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0</v>
      </c>
      <c r="X75" s="211"/>
      <c r="Y75" s="579" t="s">
        <v>121</v>
      </c>
      <c r="Z75" s="579" t="s">
        <v>122</v>
      </c>
      <c r="AA75" s="579" t="s">
        <v>123</v>
      </c>
      <c r="AB75" s="820" t="s">
        <v>124</v>
      </c>
      <c r="AC75" s="821"/>
      <c r="AD75" s="822"/>
      <c r="AE75" s="579" t="s">
        <v>125</v>
      </c>
      <c r="AF75" s="579" t="s">
        <v>126</v>
      </c>
      <c r="AG75" s="149"/>
      <c r="AH75" s="579" t="s">
        <v>121</v>
      </c>
      <c r="AI75" s="579"/>
      <c r="AJ75" s="214" t="s">
        <v>7</v>
      </c>
      <c r="AK75" s="236">
        <f>((+AD78-AA78)/$AD$73)*24</f>
        <v>143428</v>
      </c>
      <c r="AL75" s="236">
        <f>AK75</f>
        <v>143428</v>
      </c>
      <c r="AM75" s="20" t="s">
        <v>7</v>
      </c>
      <c r="AN75" s="19">
        <f>AD58</f>
        <v>143428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-55355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0</v>
      </c>
      <c r="X76" s="211"/>
      <c r="Y76" s="579"/>
      <c r="Z76" s="579"/>
      <c r="AA76" s="579"/>
      <c r="AB76" s="579"/>
      <c r="AC76" s="579"/>
      <c r="AD76" s="579"/>
      <c r="AE76" s="579"/>
      <c r="AF76" s="579"/>
      <c r="AG76" s="149"/>
      <c r="AH76" s="579"/>
      <c r="AI76" s="579"/>
      <c r="AJ76" s="214" t="s">
        <v>6</v>
      </c>
      <c r="AK76" s="236">
        <f>((+AD79-AA79)/$AD$73)*24</f>
        <v>326639</v>
      </c>
      <c r="AL76" s="236">
        <f>+AK76</f>
        <v>326639</v>
      </c>
      <c r="AM76" s="464"/>
      <c r="AN76" s="19">
        <f>SUM(AN73:AN75)</f>
        <v>143428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-55355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0</v>
      </c>
      <c r="X77" s="211"/>
      <c r="Y77" s="579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579"/>
      <c r="AI77" s="78"/>
      <c r="AJ77" s="214" t="s">
        <v>8</v>
      </c>
      <c r="AK77" s="236">
        <f>((+AD80-AA80)/$AD$73)*24</f>
        <v>25200</v>
      </c>
      <c r="AL77" s="236">
        <f>AK77</f>
        <v>25200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-55355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0</v>
      </c>
      <c r="X78" s="211"/>
      <c r="Y78" s="214" t="s">
        <v>7</v>
      </c>
      <c r="Z78" s="224"/>
      <c r="AA78" s="225">
        <v>0</v>
      </c>
      <c r="AB78" s="226">
        <f t="shared" ref="AB78:AC80" si="22">+Z58</f>
        <v>56330</v>
      </c>
      <c r="AC78" s="226">
        <f t="shared" si="22"/>
        <v>87098</v>
      </c>
      <c r="AD78" s="226">
        <f>+AB78+AC78+AB58+AC58</f>
        <v>143428</v>
      </c>
      <c r="AE78" s="519">
        <f>+((AD58/24)*$AD$73)+AA78</f>
        <v>143428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495267</v>
      </c>
      <c r="AL78" s="231">
        <f>+SUM(AL75:AL77)</f>
        <v>495267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-55355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0</v>
      </c>
      <c r="X79" s="211"/>
      <c r="Y79" s="214" t="s">
        <v>6</v>
      </c>
      <c r="Z79" s="224"/>
      <c r="AA79" s="225">
        <f>0+0</f>
        <v>0</v>
      </c>
      <c r="AB79" s="226">
        <f t="shared" si="22"/>
        <v>156615</v>
      </c>
      <c r="AC79" s="226">
        <f t="shared" si="22"/>
        <v>170024</v>
      </c>
      <c r="AD79" s="226">
        <f>+AB79+AC79+AB59</f>
        <v>326639</v>
      </c>
      <c r="AE79" s="519">
        <f>+((AD59/24)*$AD$73)+AA79</f>
        <v>326639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v>536741</v>
      </c>
      <c r="AL79" s="481">
        <f>AK79-AK78</f>
        <v>41474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-55355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0</v>
      </c>
      <c r="X80" s="211"/>
      <c r="Y80" s="214" t="s">
        <v>8</v>
      </c>
      <c r="Z80" s="224"/>
      <c r="AA80" s="225">
        <v>0</v>
      </c>
      <c r="AB80" s="226">
        <f t="shared" si="22"/>
        <v>0</v>
      </c>
      <c r="AC80" s="226">
        <f t="shared" si="22"/>
        <v>25200</v>
      </c>
      <c r="AD80" s="226">
        <f>+AB80+AC80</f>
        <v>25200</v>
      </c>
      <c r="AE80" s="519">
        <f>+((AD60/24)*$AD$73)+AA80</f>
        <v>25200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-55355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0</v>
      </c>
      <c r="X81" s="211"/>
      <c r="Y81" s="228" t="s">
        <v>130</v>
      </c>
      <c r="Z81" s="229">
        <f t="shared" ref="Z81:AE81" si="23">SUM(Z78:Z80)</f>
        <v>0</v>
      </c>
      <c r="AA81" s="230">
        <f t="shared" si="23"/>
        <v>0</v>
      </c>
      <c r="AB81" s="229">
        <f t="shared" si="23"/>
        <v>212945</v>
      </c>
      <c r="AC81" s="229">
        <f t="shared" si="23"/>
        <v>282322</v>
      </c>
      <c r="AD81" s="229">
        <f t="shared" si="23"/>
        <v>495267</v>
      </c>
      <c r="AE81" s="229">
        <f t="shared" si="23"/>
        <v>495267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-55355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-55355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0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-55355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-55355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-55355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-55355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-55355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-55355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0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-55355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-55355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-55355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0</v>
      </c>
      <c r="Y92" s="823" t="s">
        <v>158</v>
      </c>
      <c r="Z92" s="489" t="s">
        <v>283</v>
      </c>
      <c r="AA92" s="490" t="e">
        <f>IF(C2:D57="Regulado",VLOOKUP(A2,[1]HeatRate!$A$1:$D$37,4,FALSE),"")</f>
        <v>#VALUE!</v>
      </c>
      <c r="AB92" s="491"/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-55355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0</v>
      </c>
      <c r="Y93" s="824"/>
      <c r="Z93" s="492" t="s">
        <v>284</v>
      </c>
      <c r="AA93" s="493"/>
      <c r="AB93" s="494"/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-55355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0</v>
      </c>
      <c r="Y94" s="824"/>
      <c r="Z94" s="492" t="s">
        <v>80</v>
      </c>
      <c r="AA94" s="493"/>
      <c r="AB94" s="494"/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-55355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0</v>
      </c>
      <c r="Y95" s="824"/>
      <c r="Z95" s="492" t="s">
        <v>285</v>
      </c>
      <c r="AA95" s="493"/>
      <c r="AB95" s="494"/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-55355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0</v>
      </c>
      <c r="Y96" s="824"/>
      <c r="Z96" s="495" t="s">
        <v>286</v>
      </c>
      <c r="AA96" s="496"/>
      <c r="AB96" s="497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-55355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0</v>
      </c>
      <c r="Y97" s="825" t="s">
        <v>154</v>
      </c>
      <c r="Z97" s="489" t="s">
        <v>283</v>
      </c>
      <c r="AA97" s="498"/>
      <c r="AB97" s="499"/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-55355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0</v>
      </c>
      <c r="Y98" s="826"/>
      <c r="Z98" s="492" t="s">
        <v>284</v>
      </c>
      <c r="AA98" s="500"/>
      <c r="AB98" s="501"/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-55355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0</v>
      </c>
      <c r="Y99" s="826"/>
      <c r="Z99" s="492" t="s">
        <v>80</v>
      </c>
      <c r="AA99" s="500"/>
      <c r="AB99" s="501"/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-55355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0</v>
      </c>
      <c r="Y100" s="826"/>
      <c r="Z100" s="492" t="s">
        <v>285</v>
      </c>
      <c r="AA100" s="500"/>
      <c r="AB100" s="501"/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-55355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0</v>
      </c>
      <c r="Y101" s="827"/>
      <c r="Z101" s="4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-55355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0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-55355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0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157924</v>
      </c>
      <c r="I105" s="252">
        <f>+SUM(I2:I103)</f>
        <v>75976</v>
      </c>
      <c r="J105" s="252">
        <f>+SUM(J2:J103)</f>
        <v>34400</v>
      </c>
      <c r="K105" s="252">
        <f>SUM(K2:K103)</f>
        <v>268300</v>
      </c>
      <c r="L105" s="253">
        <f>+L103</f>
        <v>-55355</v>
      </c>
      <c r="M105" s="252">
        <f>SUM(M2:M103)</f>
        <v>0</v>
      </c>
      <c r="N105" s="252">
        <f>SUM(N2:N103)</f>
        <v>268300</v>
      </c>
      <c r="O105" s="252"/>
      <c r="P105" s="252">
        <f>SUM(P2:P103)</f>
        <v>0</v>
      </c>
      <c r="Q105" s="252">
        <f>SUM(Q2:Q103)</f>
        <v>0</v>
      </c>
      <c r="R105" s="252">
        <f>SUM(R2:R103)</f>
        <v>-55355</v>
      </c>
      <c r="S105" s="252">
        <f>SUM(S2:S103)</f>
        <v>156615</v>
      </c>
      <c r="T105" s="252">
        <f>+SUM(T2:T103)</f>
        <v>56330</v>
      </c>
      <c r="U105" s="252">
        <f>SUM(U2:U103)</f>
        <v>0</v>
      </c>
      <c r="V105" s="252">
        <f>SUM(V2:V103)</f>
        <v>212945</v>
      </c>
      <c r="W105" s="254">
        <f>+W103</f>
        <v>0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>
        <f>J93-8783</f>
        <v>-8783</v>
      </c>
      <c r="S106" s="119">
        <v>131959</v>
      </c>
      <c r="T106" s="116">
        <v>78079</v>
      </c>
      <c r="W106" s="119"/>
      <c r="Y106" s="830"/>
      <c r="Z106" s="4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575" t="s">
        <v>304</v>
      </c>
      <c r="I107" s="575" t="s">
        <v>150</v>
      </c>
      <c r="J107" s="575" t="s">
        <v>306</v>
      </c>
      <c r="K107" s="576" t="s">
        <v>307</v>
      </c>
      <c r="L107" s="287" t="s">
        <v>308</v>
      </c>
      <c r="M107" s="259"/>
      <c r="N107" s="259"/>
      <c r="O107" s="259"/>
      <c r="P107" s="259"/>
      <c r="Q107" s="116"/>
      <c r="R107" s="116"/>
      <c r="S107" s="119">
        <f>S106-S105</f>
        <v>-24656</v>
      </c>
      <c r="T107" s="119">
        <f>T106-T105</f>
        <v>21749</v>
      </c>
      <c r="U107" s="116">
        <v>677</v>
      </c>
      <c r="V107" s="119">
        <f>+V51-U107</f>
        <v>4500</v>
      </c>
      <c r="W107" s="119"/>
      <c r="Y107" s="502" t="s">
        <v>289</v>
      </c>
      <c r="Z107" s="503" t="s">
        <v>289</v>
      </c>
      <c r="AA107" s="504"/>
      <c r="AB107" s="505"/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 t="s">
        <v>193</v>
      </c>
      <c r="I108" s="257">
        <v>15000</v>
      </c>
      <c r="J108" s="574">
        <f>I108/$I$111</f>
        <v>0.46875</v>
      </c>
      <c r="K108" s="119">
        <f>$W$50*J108</f>
        <v>5177.34375</v>
      </c>
      <c r="L108" s="119">
        <f>I108-K108</f>
        <v>9822.65625</v>
      </c>
      <c r="M108" s="259"/>
      <c r="N108" s="259"/>
      <c r="O108" s="259"/>
      <c r="P108" s="259"/>
      <c r="Q108" s="116"/>
      <c r="R108" s="116"/>
      <c r="S108" s="119"/>
      <c r="T108" s="116"/>
      <c r="U108" s="116"/>
      <c r="V108" s="121">
        <v>7</v>
      </c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 t="s">
        <v>239</v>
      </c>
      <c r="I109" s="257">
        <v>15000</v>
      </c>
      <c r="J109" s="574">
        <f>I109/$I$111</f>
        <v>0.46875</v>
      </c>
      <c r="K109" s="119">
        <f>$W$50*J109</f>
        <v>5177.34375</v>
      </c>
      <c r="L109" s="119">
        <f>I109-K109</f>
        <v>9822.65625</v>
      </c>
      <c r="M109" s="259"/>
      <c r="N109" s="259"/>
      <c r="O109" s="259"/>
      <c r="P109" s="259"/>
      <c r="Q109" s="116"/>
      <c r="R109" s="116"/>
      <c r="S109" s="119"/>
      <c r="T109" s="116"/>
      <c r="U109" s="116"/>
      <c r="V109" s="119">
        <f>+V107*V108</f>
        <v>31500</v>
      </c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 t="s">
        <v>305</v>
      </c>
      <c r="I110" s="257">
        <v>2000</v>
      </c>
      <c r="J110" s="574">
        <f>I110/$I$111</f>
        <v>6.25E-2</v>
      </c>
      <c r="K110" s="119">
        <f>$W$50*J110</f>
        <v>690.3125</v>
      </c>
      <c r="L110" s="119">
        <f>I110-K110</f>
        <v>1309.6875</v>
      </c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573" t="s">
        <v>9</v>
      </c>
      <c r="I111" s="572">
        <f>SUM(I108:I110)</f>
        <v>32000</v>
      </c>
      <c r="J111" s="574">
        <f>SUM(J108:J110)</f>
        <v>1</v>
      </c>
      <c r="K111" s="265">
        <f>SUM(K108:K110)</f>
        <v>11045</v>
      </c>
      <c r="L111" s="265">
        <f>SUM(L108:L110)</f>
        <v>20955</v>
      </c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106918</v>
      </c>
      <c r="J115" s="274">
        <f>SUM(H2:H5)+H14+SUM(H30:H32)+H35+18820</f>
        <v>39020</v>
      </c>
      <c r="K115" s="845">
        <f t="shared" ref="K115:K123" si="28">I115-J115</f>
        <v>67898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2000</v>
      </c>
      <c r="J116" s="275">
        <f>I116+0</f>
        <v>2000</v>
      </c>
      <c r="K116" s="839">
        <f t="shared" si="28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119951</v>
      </c>
      <c r="J117" s="275">
        <f>I117</f>
        <v>119951</v>
      </c>
      <c r="K117" s="839">
        <f t="shared" si="28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28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28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92225</v>
      </c>
      <c r="J120" s="275">
        <f>I120</f>
        <v>92225</v>
      </c>
      <c r="K120" s="839">
        <f t="shared" si="28"/>
        <v>0</v>
      </c>
      <c r="L120" s="840"/>
      <c r="AJ120" s="109" t="s">
        <v>155</v>
      </c>
      <c r="AK120" s="236">
        <v>169523</v>
      </c>
    </row>
    <row r="121" spans="1:40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15109</v>
      </c>
      <c r="J121" s="275">
        <f>I121+0</f>
        <v>15109</v>
      </c>
      <c r="K121" s="839">
        <f t="shared" si="28"/>
        <v>0</v>
      </c>
      <c r="L121" s="840"/>
      <c r="AJ121" s="354" t="s">
        <v>135</v>
      </c>
      <c r="AK121" s="355">
        <v>173236</v>
      </c>
    </row>
    <row r="122" spans="1:40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11253</v>
      </c>
      <c r="J122" s="277">
        <f>SUM(I15:I24)+SUM(I38:I43)+4379</f>
        <v>11253</v>
      </c>
      <c r="K122" s="839">
        <f t="shared" si="28"/>
        <v>0</v>
      </c>
      <c r="L122" s="840"/>
      <c r="M122" s="50"/>
      <c r="N122" s="50"/>
      <c r="O122" s="50"/>
      <c r="P122" s="50"/>
      <c r="AJ122" s="109"/>
      <c r="AK122" s="236"/>
    </row>
    <row r="123" spans="1:40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28"/>
        <v>0</v>
      </c>
      <c r="L123" s="840"/>
      <c r="AJ123" s="354"/>
      <c r="AK123" s="355"/>
    </row>
    <row r="124" spans="1:40" ht="13.5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29">I129-J129</f>
        <v>0</v>
      </c>
      <c r="L129" s="854"/>
    </row>
    <row r="130" spans="1:26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29"/>
        <v>1728</v>
      </c>
      <c r="L130" s="854"/>
    </row>
    <row r="131" spans="1:26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29"/>
        <v>0</v>
      </c>
      <c r="L131" s="854"/>
    </row>
    <row r="132" spans="1:26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29"/>
        <v>6594</v>
      </c>
      <c r="L132" s="854"/>
    </row>
    <row r="133" spans="1:26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29"/>
        <v>0</v>
      </c>
      <c r="L133" s="854"/>
    </row>
    <row r="134" spans="1:26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29"/>
        <v>0</v>
      </c>
      <c r="L134" s="854"/>
    </row>
    <row r="135" spans="1:26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29"/>
        <v>0</v>
      </c>
      <c r="L135" s="854"/>
    </row>
    <row r="136" spans="1:26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29"/>
        <v>0</v>
      </c>
      <c r="L136" s="854"/>
    </row>
    <row r="137" spans="1:26" ht="13.5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29"/>
        <v>262</v>
      </c>
      <c r="L137" s="854"/>
      <c r="X137" s="20"/>
      <c r="Z137" s="20"/>
    </row>
    <row r="138" spans="1:26" ht="15.75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x14ac:dyDescent="0.2">
      <c r="G141" s="864" t="s">
        <v>154</v>
      </c>
      <c r="H141" s="295" t="s">
        <v>28</v>
      </c>
      <c r="I141" s="296">
        <f t="shared" ref="I141:K151" si="30">I115+I128</f>
        <v>106918</v>
      </c>
      <c r="J141" s="296">
        <f t="shared" si="30"/>
        <v>39020</v>
      </c>
      <c r="K141" s="867">
        <f t="shared" si="30"/>
        <v>67898</v>
      </c>
      <c r="L141" s="868"/>
      <c r="X141" s="20"/>
      <c r="Z141" s="20"/>
    </row>
    <row r="142" spans="1:26" x14ac:dyDescent="0.2">
      <c r="C142" s="20"/>
      <c r="F142" s="20"/>
      <c r="G142" s="865"/>
      <c r="H142" s="297" t="s">
        <v>80</v>
      </c>
      <c r="I142" s="298">
        <f t="shared" si="30"/>
        <v>2000</v>
      </c>
      <c r="J142" s="298">
        <f t="shared" si="30"/>
        <v>2000</v>
      </c>
      <c r="K142" s="869">
        <f t="shared" si="30"/>
        <v>0</v>
      </c>
      <c r="L142" s="870"/>
      <c r="X142" s="20"/>
      <c r="Z142" s="20"/>
    </row>
    <row r="143" spans="1:26" x14ac:dyDescent="0.2">
      <c r="G143" s="865"/>
      <c r="H143" s="297" t="s">
        <v>61</v>
      </c>
      <c r="I143" s="298">
        <f t="shared" si="30"/>
        <v>121679</v>
      </c>
      <c r="J143" s="298">
        <f t="shared" si="30"/>
        <v>119951</v>
      </c>
      <c r="K143" s="869">
        <f t="shared" si="30"/>
        <v>1728</v>
      </c>
      <c r="L143" s="870"/>
      <c r="X143" s="20"/>
      <c r="Z143" s="20"/>
    </row>
    <row r="144" spans="1:26" x14ac:dyDescent="0.2">
      <c r="G144" s="865"/>
      <c r="H144" s="297" t="s">
        <v>156</v>
      </c>
      <c r="I144" s="298">
        <f t="shared" si="30"/>
        <v>14000</v>
      </c>
      <c r="J144" s="298">
        <f t="shared" si="30"/>
        <v>14000</v>
      </c>
      <c r="K144" s="869">
        <f t="shared" si="30"/>
        <v>0</v>
      </c>
      <c r="L144" s="870"/>
      <c r="X144" s="20"/>
      <c r="Z144" s="20"/>
    </row>
    <row r="145" spans="3:26" ht="13.5" thickBot="1" x14ac:dyDescent="0.25">
      <c r="G145" s="866"/>
      <c r="H145" s="299" t="s">
        <v>157</v>
      </c>
      <c r="I145" s="300">
        <f t="shared" si="30"/>
        <v>67705</v>
      </c>
      <c r="J145" s="300">
        <f t="shared" si="30"/>
        <v>61111</v>
      </c>
      <c r="K145" s="871">
        <f t="shared" si="30"/>
        <v>6594</v>
      </c>
      <c r="L145" s="872"/>
      <c r="X145" s="20"/>
      <c r="Z145" s="20"/>
    </row>
    <row r="146" spans="3:26" x14ac:dyDescent="0.2">
      <c r="G146" s="879" t="s">
        <v>158</v>
      </c>
      <c r="H146" s="295" t="s">
        <v>28</v>
      </c>
      <c r="I146" s="296">
        <f t="shared" si="30"/>
        <v>92240</v>
      </c>
      <c r="J146" s="296">
        <f t="shared" si="30"/>
        <v>92240</v>
      </c>
      <c r="K146" s="867">
        <f t="shared" si="30"/>
        <v>0</v>
      </c>
      <c r="L146" s="868"/>
      <c r="X146" s="20"/>
      <c r="Z146" s="20"/>
    </row>
    <row r="147" spans="3:26" x14ac:dyDescent="0.2">
      <c r="G147" s="880"/>
      <c r="H147" s="297" t="s">
        <v>80</v>
      </c>
      <c r="I147" s="301">
        <f t="shared" si="30"/>
        <v>15109</v>
      </c>
      <c r="J147" s="301">
        <f t="shared" si="30"/>
        <v>15109</v>
      </c>
      <c r="K147" s="869">
        <f t="shared" si="30"/>
        <v>0</v>
      </c>
      <c r="L147" s="870"/>
      <c r="X147" s="20"/>
      <c r="Z147" s="20"/>
    </row>
    <row r="148" spans="3:26" x14ac:dyDescent="0.2">
      <c r="G148" s="880"/>
      <c r="H148" s="297" t="s">
        <v>61</v>
      </c>
      <c r="I148" s="301">
        <f t="shared" si="30"/>
        <v>11253</v>
      </c>
      <c r="J148" s="301">
        <f t="shared" si="30"/>
        <v>11253</v>
      </c>
      <c r="K148" s="869">
        <f t="shared" si="30"/>
        <v>0</v>
      </c>
      <c r="L148" s="870"/>
      <c r="X148" s="20"/>
      <c r="Z148" s="20"/>
    </row>
    <row r="149" spans="3:26" x14ac:dyDescent="0.2">
      <c r="G149" s="880"/>
      <c r="H149" s="297" t="s">
        <v>156</v>
      </c>
      <c r="I149" s="301">
        <f t="shared" si="30"/>
        <v>38756</v>
      </c>
      <c r="J149" s="301">
        <f t="shared" si="30"/>
        <v>38756</v>
      </c>
      <c r="K149" s="869">
        <f t="shared" si="30"/>
        <v>0</v>
      </c>
      <c r="L149" s="870"/>
      <c r="X149" s="20"/>
      <c r="Z149" s="20"/>
    </row>
    <row r="150" spans="3:26" ht="13.5" thickBot="1" x14ac:dyDescent="0.25">
      <c r="G150" s="881"/>
      <c r="H150" s="299" t="s">
        <v>157</v>
      </c>
      <c r="I150" s="302">
        <f t="shared" si="30"/>
        <v>1700</v>
      </c>
      <c r="J150" s="302">
        <f t="shared" si="30"/>
        <v>1438</v>
      </c>
      <c r="K150" s="871">
        <f t="shared" si="30"/>
        <v>262</v>
      </c>
      <c r="L150" s="872"/>
      <c r="X150" s="20"/>
      <c r="Z150" s="20"/>
    </row>
    <row r="151" spans="3:26" ht="15.75" thickBot="1" x14ac:dyDescent="0.25">
      <c r="G151" s="847" t="s">
        <v>162</v>
      </c>
      <c r="H151" s="873"/>
      <c r="I151" s="303">
        <f t="shared" si="30"/>
        <v>300000</v>
      </c>
      <c r="J151" s="303">
        <f t="shared" si="30"/>
        <v>108136</v>
      </c>
      <c r="K151" s="874">
        <f>I151-J151</f>
        <v>191864</v>
      </c>
      <c r="L151" s="873"/>
      <c r="X151" s="20"/>
      <c r="Z151" s="20"/>
    </row>
    <row r="152" spans="3:26" ht="15.75" thickBot="1" x14ac:dyDescent="0.3">
      <c r="G152" s="875" t="s">
        <v>163</v>
      </c>
      <c r="H152" s="876"/>
      <c r="I152" s="304">
        <f>SUM(I141:I150)</f>
        <v>471360</v>
      </c>
      <c r="J152" s="304">
        <f>SUM(J141:J150)</f>
        <v>394878</v>
      </c>
      <c r="K152" s="877">
        <f>SUM(K141:L150)</f>
        <v>76482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J156" s="307">
        <v>28391</v>
      </c>
      <c r="Q156" s="20">
        <v>8815</v>
      </c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H158" s="307" t="s">
        <v>249</v>
      </c>
      <c r="I158" s="307">
        <v>20500</v>
      </c>
      <c r="J158" s="18">
        <f>I158/I162</f>
        <v>0.46345488662310946</v>
      </c>
      <c r="L158" s="80">
        <f>J156*$J$158</f>
        <v>13157.9476861167</v>
      </c>
      <c r="N158" s="20" t="s">
        <v>256</v>
      </c>
      <c r="P158" s="20">
        <v>360</v>
      </c>
      <c r="Q158" s="20">
        <v>4733</v>
      </c>
      <c r="R158" s="18">
        <f>Q158/Q162</f>
        <v>0.34464428748270587</v>
      </c>
      <c r="S158" s="18"/>
      <c r="T158" s="80">
        <f>Q156*R158</f>
        <v>3038.0393941600523</v>
      </c>
      <c r="X158" s="20"/>
      <c r="Z158" s="20"/>
    </row>
    <row r="159" spans="3:26" x14ac:dyDescent="0.2">
      <c r="C159" s="20"/>
      <c r="F159" s="20"/>
      <c r="H159" s="307" t="s">
        <v>250</v>
      </c>
      <c r="I159" s="307">
        <v>13733</v>
      </c>
      <c r="J159" s="18">
        <f>I159/I162</f>
        <v>0.31046955892659328</v>
      </c>
      <c r="L159" s="80">
        <f>J156*$J$159</f>
        <v>8814.541247484909</v>
      </c>
      <c r="P159" s="20">
        <v>361</v>
      </c>
      <c r="Q159" s="20">
        <v>1500</v>
      </c>
      <c r="R159" s="18">
        <f>Q159/Q162</f>
        <v>0.10922595208621569</v>
      </c>
      <c r="S159" s="18"/>
      <c r="T159" s="80">
        <f>Q156*R159</f>
        <v>962.82676763999132</v>
      </c>
      <c r="X159" s="20"/>
      <c r="Z159" s="20"/>
    </row>
    <row r="160" spans="3:26" x14ac:dyDescent="0.2">
      <c r="C160" s="20"/>
      <c r="F160" s="20"/>
      <c r="H160" s="307" t="s">
        <v>251</v>
      </c>
      <c r="I160" s="307">
        <v>10000</v>
      </c>
      <c r="J160" s="18">
        <f>I160/I162</f>
        <v>0.22607555445029728</v>
      </c>
      <c r="L160" s="80">
        <f>J156*$J$160</f>
        <v>6418.5110663983905</v>
      </c>
      <c r="P160" s="20">
        <v>363</v>
      </c>
      <c r="Q160" s="20">
        <v>7500</v>
      </c>
      <c r="R160" s="18">
        <f>Q160/Q162</f>
        <v>0.54612976043107841</v>
      </c>
      <c r="S160" s="18"/>
      <c r="T160" s="80">
        <f>Q156*R160</f>
        <v>4814.1338381999558</v>
      </c>
      <c r="X160" s="20"/>
      <c r="Z160" s="20"/>
    </row>
    <row r="161" spans="3:26" x14ac:dyDescent="0.2">
      <c r="C161" s="20"/>
      <c r="F161" s="20"/>
      <c r="J161" s="20"/>
      <c r="X161" s="20"/>
      <c r="Z161" s="20"/>
    </row>
    <row r="162" spans="3:26" x14ac:dyDescent="0.2">
      <c r="C162" s="20"/>
      <c r="F162" s="20"/>
      <c r="I162" s="307">
        <f>SUM(I158:I160)</f>
        <v>44233</v>
      </c>
      <c r="J162" s="20"/>
      <c r="Q162" s="20">
        <f>SUM(Q158:Q160)</f>
        <v>13733</v>
      </c>
      <c r="X162" s="20"/>
      <c r="Z162" s="20"/>
    </row>
    <row r="163" spans="3:26" x14ac:dyDescent="0.2">
      <c r="C163" s="20"/>
      <c r="F163" s="20"/>
      <c r="J163" s="20"/>
      <c r="X163" s="20"/>
      <c r="Z163" s="20"/>
    </row>
    <row r="164" spans="3:26" x14ac:dyDescent="0.2">
      <c r="C164" s="20"/>
      <c r="F164" s="20"/>
      <c r="J164" s="20"/>
      <c r="X164" s="20"/>
      <c r="Z164" s="20"/>
    </row>
    <row r="165" spans="3:26" x14ac:dyDescent="0.2">
      <c r="C165" s="20"/>
      <c r="F165" s="20"/>
      <c r="H165" s="458"/>
      <c r="I165" s="459" t="s">
        <v>252</v>
      </c>
      <c r="J165" s="78">
        <v>14260</v>
      </c>
      <c r="K165" s="78"/>
      <c r="P165" s="20" t="s">
        <v>254</v>
      </c>
      <c r="Q165" s="20">
        <v>6506</v>
      </c>
      <c r="X165" s="20"/>
      <c r="Z165" s="20"/>
    </row>
    <row r="166" spans="3:26" x14ac:dyDescent="0.2">
      <c r="C166" s="20"/>
      <c r="F166" s="20"/>
      <c r="H166" s="458" t="s">
        <v>253</v>
      </c>
      <c r="J166" s="20"/>
      <c r="N166" s="20" t="s">
        <v>255</v>
      </c>
      <c r="X166" s="20"/>
      <c r="Z166" s="20"/>
    </row>
    <row r="167" spans="3:26" x14ac:dyDescent="0.2">
      <c r="C167" s="20"/>
      <c r="F167" s="20"/>
      <c r="H167" s="458">
        <v>355</v>
      </c>
      <c r="I167" s="307">
        <v>5205</v>
      </c>
      <c r="J167" s="18">
        <f>I167/I170</f>
        <v>0.22430510665804784</v>
      </c>
      <c r="K167" s="80">
        <f>J165*J167</f>
        <v>3198.5908209437621</v>
      </c>
      <c r="N167" s="20">
        <v>364</v>
      </c>
      <c r="P167" s="20">
        <v>3600</v>
      </c>
      <c r="Q167" s="461">
        <f>P167/P170</f>
        <v>0.34003967129498441</v>
      </c>
      <c r="R167" s="80">
        <f>Q165*Q167</f>
        <v>2212.2981014451684</v>
      </c>
      <c r="X167" s="20"/>
      <c r="Z167" s="20"/>
    </row>
    <row r="168" spans="3:26" x14ac:dyDescent="0.2">
      <c r="C168" s="20"/>
      <c r="F168" s="20"/>
      <c r="H168" s="458">
        <v>356</v>
      </c>
      <c r="I168" s="307">
        <v>18000</v>
      </c>
      <c r="J168" s="18">
        <f>I168/I170</f>
        <v>0.77569489334195219</v>
      </c>
      <c r="K168" s="80">
        <f>J165*J168</f>
        <v>11061.409179056238</v>
      </c>
      <c r="N168" s="20">
        <v>365</v>
      </c>
      <c r="P168" s="20">
        <v>6000</v>
      </c>
      <c r="Q168" s="461">
        <f>P168/P170</f>
        <v>0.56673278549164074</v>
      </c>
      <c r="R168" s="80">
        <f>Q165*Q168</f>
        <v>3687.1635024086145</v>
      </c>
      <c r="X168" s="20"/>
      <c r="Z168" s="20"/>
    </row>
    <row r="169" spans="3:26" x14ac:dyDescent="0.2">
      <c r="C169" s="20"/>
      <c r="F169" s="20"/>
      <c r="H169" s="460"/>
      <c r="J169" s="20"/>
      <c r="N169" s="20" t="s">
        <v>257</v>
      </c>
      <c r="P169" s="20">
        <v>987</v>
      </c>
      <c r="Q169" s="461">
        <f>P169/P170</f>
        <v>9.3227543213374897E-2</v>
      </c>
      <c r="R169" s="80">
        <f>Q165*Q169</f>
        <v>606.53839614621711</v>
      </c>
      <c r="X169" s="20"/>
      <c r="Z169" s="20"/>
    </row>
    <row r="170" spans="3:26" x14ac:dyDescent="0.2">
      <c r="C170" s="20"/>
      <c r="F170" s="20"/>
      <c r="H170" s="458"/>
      <c r="I170" s="458">
        <f>SUM(I167:I168)</f>
        <v>23205</v>
      </c>
      <c r="J170" s="78"/>
      <c r="K170" s="78"/>
      <c r="P170" s="20">
        <f>SUM(P167:P169)</f>
        <v>10587</v>
      </c>
      <c r="X170" s="20"/>
      <c r="Z170" s="20"/>
    </row>
    <row r="171" spans="3:26" ht="15" x14ac:dyDescent="0.25">
      <c r="C171" s="20"/>
      <c r="F171" s="20"/>
      <c r="G171" s="305"/>
      <c r="H171" s="306"/>
      <c r="J171" s="20"/>
      <c r="X171" s="20"/>
      <c r="Z171" s="20"/>
    </row>
    <row r="172" spans="3:26" x14ac:dyDescent="0.2">
      <c r="C172" s="20"/>
      <c r="F172" s="20"/>
      <c r="J172" s="20"/>
      <c r="X172" s="20"/>
      <c r="Z172" s="20"/>
    </row>
    <row r="173" spans="3:26" x14ac:dyDescent="0.2">
      <c r="C173" s="20"/>
      <c r="F173" s="20"/>
      <c r="J173" s="20"/>
      <c r="X173" s="20"/>
      <c r="Z173" s="20"/>
    </row>
  </sheetData>
  <autoFilter ref="A1:AN152">
    <filterColumn colId="27" showButton="0"/>
    <filterColumn colId="28" showButton="0"/>
    <filterColumn colId="29" showButton="0"/>
  </autoFilter>
  <mergeCells count="87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A113:A114"/>
    <mergeCell ref="B113:B114"/>
    <mergeCell ref="G113:H113"/>
    <mergeCell ref="I113:L113"/>
    <mergeCell ref="K114:L114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G125:H125"/>
    <mergeCell ref="K125:L125"/>
    <mergeCell ref="G126:H126"/>
    <mergeCell ref="I126:L126"/>
    <mergeCell ref="K127:L127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</mergeCells>
  <conditionalFormatting sqref="AA78">
    <cfRule type="cellIs" dxfId="189" priority="3" operator="lessThan">
      <formula>$AA$78</formula>
    </cfRule>
    <cfRule type="cellIs" dxfId="188" priority="5" operator="greaterThan">
      <formula>$AE$78</formula>
    </cfRule>
  </conditionalFormatting>
  <conditionalFormatting sqref="AA79">
    <cfRule type="cellIs" dxfId="187" priority="4" operator="greaterThan">
      <formula>$AE$79</formula>
    </cfRule>
  </conditionalFormatting>
  <conditionalFormatting sqref="AA80">
    <cfRule type="cellIs" dxfId="186" priority="2" operator="greaterThan">
      <formula>$AE$79</formula>
    </cfRule>
  </conditionalFormatting>
  <conditionalFormatting sqref="AU4:AU23">
    <cfRule type="cellIs" dxfId="185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F0"/>
  </sheetPr>
  <dimension ref="A1:AU173"/>
  <sheetViews>
    <sheetView topLeftCell="Q1" zoomScale="90" zoomScaleNormal="90" workbookViewId="0">
      <selection activeCell="Z9" sqref="Z9"/>
    </sheetView>
  </sheetViews>
  <sheetFormatPr defaultColWidth="9.28515625" defaultRowHeight="12.75" x14ac:dyDescent="0.2"/>
  <cols>
    <col min="1" max="1" width="15.28515625" style="20" customWidth="1"/>
    <col min="2" max="2" width="12.85546875" style="20" customWidth="1"/>
    <col min="3" max="3" width="6.42578125" style="293" hidden="1" customWidth="1"/>
    <col min="4" max="5" width="14.140625" style="20" bestFit="1" customWidth="1"/>
    <col min="6" max="6" width="31.5703125" style="294" customWidth="1"/>
    <col min="7" max="7" width="50.5703125" style="20" customWidth="1"/>
    <col min="8" max="10" width="14.7109375" style="307" customWidth="1"/>
    <col min="11" max="12" width="14.7109375" style="20" customWidth="1"/>
    <col min="13" max="13" width="7.28515625" style="20" customWidth="1"/>
    <col min="14" max="14" width="13.5703125" style="20" customWidth="1"/>
    <col min="15" max="15" width="14.7109375" style="20" hidden="1" customWidth="1"/>
    <col min="16" max="16" width="8.140625" style="20" customWidth="1"/>
    <col min="17" max="23" width="14.7109375" style="20" customWidth="1"/>
    <col min="24" max="24" width="2.42578125" style="13" customWidth="1"/>
    <col min="25" max="25" width="39.42578125" style="20" customWidth="1"/>
    <col min="26" max="26" width="14" style="49" customWidth="1"/>
    <col min="27" max="27" width="14.5703125" style="20" customWidth="1"/>
    <col min="28" max="28" width="14" style="20" customWidth="1"/>
    <col min="29" max="29" width="12.5703125" style="20" customWidth="1"/>
    <col min="30" max="30" width="15.28515625" style="20" customWidth="1"/>
    <col min="31" max="32" width="16.85546875" style="20" customWidth="1"/>
    <col min="33" max="33" width="13.28515625" style="20" customWidth="1"/>
    <col min="34" max="34" width="16.140625" style="20" customWidth="1"/>
    <col min="35" max="36" width="18.5703125" style="20" customWidth="1"/>
    <col min="37" max="37" width="20.5703125" style="20" customWidth="1"/>
    <col min="38" max="38" width="18.5703125" style="20" customWidth="1"/>
    <col min="39" max="39" width="14.85546875" style="20" customWidth="1"/>
    <col min="40" max="41" width="12.140625" style="20" bestFit="1" customWidth="1"/>
    <col min="42" max="42" width="22.7109375" style="20" customWidth="1"/>
    <col min="43" max="43" width="18.5703125" style="20" customWidth="1"/>
    <col min="44" max="44" width="16.28515625" style="20" bestFit="1" customWidth="1"/>
    <col min="45" max="45" width="19.28515625" style="20" customWidth="1"/>
    <col min="46" max="46" width="8.42578125" style="20" bestFit="1" customWidth="1"/>
    <col min="47" max="47" width="12.42578125" style="20" bestFit="1" customWidth="1"/>
    <col min="48" max="48" width="9.28515625" style="20"/>
    <col min="49" max="49" width="9.28515625" style="20" customWidth="1"/>
    <col min="50" max="50" width="9.28515625" style="20"/>
    <col min="51" max="51" width="9.28515625" style="20" customWidth="1"/>
    <col min="52" max="16384" width="9.28515625" style="20"/>
  </cols>
  <sheetData>
    <row r="1" spans="1:47" ht="39" thickBot="1" x14ac:dyDescent="0.25">
      <c r="A1" s="1" t="s">
        <v>0</v>
      </c>
      <c r="B1" s="1" t="s">
        <v>1</v>
      </c>
      <c r="C1" s="1" t="s">
        <v>2</v>
      </c>
      <c r="D1" s="1" t="s">
        <v>185</v>
      </c>
      <c r="E1" s="1" t="s">
        <v>3</v>
      </c>
      <c r="F1" s="1" t="s">
        <v>4</v>
      </c>
      <c r="G1" s="1" t="s">
        <v>5</v>
      </c>
      <c r="H1" s="2" t="s">
        <v>6</v>
      </c>
      <c r="I1" s="3" t="s">
        <v>7</v>
      </c>
      <c r="J1" s="4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5" t="s">
        <v>14</v>
      </c>
      <c r="Q1" s="6" t="s">
        <v>15</v>
      </c>
      <c r="R1" s="7" t="s">
        <v>16</v>
      </c>
      <c r="S1" s="8" t="s">
        <v>17</v>
      </c>
      <c r="T1" s="9" t="s">
        <v>7</v>
      </c>
      <c r="U1" s="10" t="s">
        <v>8</v>
      </c>
      <c r="V1" s="11" t="s">
        <v>18</v>
      </c>
      <c r="W1" s="12" t="s">
        <v>19</v>
      </c>
      <c r="Y1" s="14"/>
      <c r="Z1" s="15" t="s">
        <v>20</v>
      </c>
      <c r="AA1" s="16" t="s">
        <v>21</v>
      </c>
      <c r="AB1" s="792" t="s">
        <v>22</v>
      </c>
      <c r="AC1" s="793"/>
      <c r="AD1" s="793"/>
      <c r="AE1" s="794"/>
      <c r="AF1" s="795" t="s">
        <v>23</v>
      </c>
      <c r="AG1" s="797" t="s">
        <v>24</v>
      </c>
      <c r="AH1" s="17"/>
      <c r="AI1" s="17"/>
      <c r="AJ1" s="18"/>
      <c r="AK1" s="19"/>
    </row>
    <row r="2" spans="1:47" ht="18" x14ac:dyDescent="0.25">
      <c r="A2" s="21" t="s">
        <v>25</v>
      </c>
      <c r="B2" s="21" t="s">
        <v>26</v>
      </c>
      <c r="C2" s="22">
        <v>1</v>
      </c>
      <c r="D2" s="21" t="s">
        <v>27</v>
      </c>
      <c r="E2" s="23" t="s">
        <v>28</v>
      </c>
      <c r="F2" s="24" t="s">
        <v>29</v>
      </c>
      <c r="G2" s="25" t="s">
        <v>88</v>
      </c>
      <c r="H2" s="518">
        <v>3000</v>
      </c>
      <c r="I2" s="26">
        <v>0</v>
      </c>
      <c r="J2" s="26"/>
      <c r="K2" s="27">
        <f>SUM(H2:J2)</f>
        <v>3000</v>
      </c>
      <c r="L2" s="28">
        <f>AA4-K2</f>
        <v>209945</v>
      </c>
      <c r="M2" s="29"/>
      <c r="N2" s="798">
        <f>SUM(K2:K26)</f>
        <v>226300</v>
      </c>
      <c r="O2" s="30">
        <f>+K2/$N$2</f>
        <v>1.3256738842244807E-2</v>
      </c>
      <c r="P2" s="801"/>
      <c r="Q2" s="31">
        <f>IF($P$2=0,0,(-($P$2*O2)+K2)-K2)</f>
        <v>0</v>
      </c>
      <c r="R2" s="31"/>
      <c r="S2" s="28">
        <f>IF(H2&lt;&gt;0,+H2+Q2+R2,0)</f>
        <v>3000</v>
      </c>
      <c r="T2" s="28">
        <f>IF(I2&lt;&gt;0,+I2+Q2+R2,0)</f>
        <v>0</v>
      </c>
      <c r="U2" s="28">
        <f>IF(J2&lt;&gt;0,+J2+Q2+R2,0)</f>
        <v>0</v>
      </c>
      <c r="V2" s="28">
        <f>+S2+T2+U2</f>
        <v>3000</v>
      </c>
      <c r="W2" s="31">
        <f>Z24-V2</f>
        <v>209945</v>
      </c>
      <c r="X2" s="32">
        <f>W2-L2</f>
        <v>0</v>
      </c>
      <c r="Y2" s="33" t="s">
        <v>30</v>
      </c>
      <c r="Z2" s="34"/>
      <c r="AA2" s="35"/>
      <c r="AB2" s="36" t="s">
        <v>7</v>
      </c>
      <c r="AC2" s="36" t="s">
        <v>17</v>
      </c>
      <c r="AD2" s="577" t="s">
        <v>31</v>
      </c>
      <c r="AE2" s="577" t="s">
        <v>9</v>
      </c>
      <c r="AF2" s="796"/>
      <c r="AG2" s="797"/>
      <c r="AH2" s="17"/>
      <c r="AI2" s="17"/>
      <c r="AJ2" s="18"/>
      <c r="AK2" s="19"/>
      <c r="AQ2" s="783" t="s">
        <v>238</v>
      </c>
      <c r="AR2" s="784"/>
      <c r="AS2" s="784"/>
      <c r="AT2" s="784"/>
      <c r="AU2" s="785"/>
    </row>
    <row r="3" spans="1:47" ht="18" x14ac:dyDescent="0.25">
      <c r="A3" s="21" t="s">
        <v>25</v>
      </c>
      <c r="B3" s="21" t="s">
        <v>26</v>
      </c>
      <c r="C3" s="22">
        <v>1</v>
      </c>
      <c r="D3" s="21" t="s">
        <v>27</v>
      </c>
      <c r="E3" s="23" t="s">
        <v>28</v>
      </c>
      <c r="F3" s="24" t="s">
        <v>32</v>
      </c>
      <c r="G3" s="25" t="s">
        <v>33</v>
      </c>
      <c r="H3" s="26"/>
      <c r="I3" s="518">
        <v>1100</v>
      </c>
      <c r="J3" s="26"/>
      <c r="K3" s="27">
        <f t="shared" ref="K3:K73" si="0">SUM(H3:J3)</f>
        <v>1100</v>
      </c>
      <c r="L3" s="28">
        <f t="shared" ref="L3:L66" si="1">+L2-K3</f>
        <v>208845</v>
      </c>
      <c r="M3" s="29"/>
      <c r="N3" s="799"/>
      <c r="O3" s="30">
        <f t="shared" ref="O3:O29" si="2">+K3/$N$2</f>
        <v>4.8608042421564293E-3</v>
      </c>
      <c r="P3" s="802"/>
      <c r="Q3" s="31">
        <f t="shared" ref="Q3:Q29" si="3">IF($P$2=0,0,(-($P$2*O3)+K3)-K3)</f>
        <v>0</v>
      </c>
      <c r="R3" s="31"/>
      <c r="S3" s="28">
        <f t="shared" ref="S3:S69" si="4">IF(H3&lt;&gt;0,+H3+Q3+R3,0)</f>
        <v>0</v>
      </c>
      <c r="T3" s="28">
        <f t="shared" ref="T3:T69" si="5">IF(I3&lt;&gt;0,+I3+Q3+R3,0)</f>
        <v>1100</v>
      </c>
      <c r="U3" s="28">
        <f t="shared" ref="U3:U69" si="6">IF(J3&lt;&gt;0,+J3+Q3+R3,0)</f>
        <v>0</v>
      </c>
      <c r="V3" s="28">
        <f t="shared" ref="V3:V69" si="7">+S3+T3+U3</f>
        <v>1100</v>
      </c>
      <c r="W3" s="31">
        <f t="shared" ref="W3:W23" si="8">+W2-V3</f>
        <v>208845</v>
      </c>
      <c r="X3" s="32">
        <f t="shared" ref="X3:X56" si="9">W3-L3</f>
        <v>0</v>
      </c>
      <c r="Y3" s="37" t="s">
        <v>34</v>
      </c>
      <c r="Z3" s="38">
        <f>ROUND((Z13*57%),0)</f>
        <v>283062</v>
      </c>
      <c r="AA3" s="39">
        <f>ROUND((+Z14*0.57),0)</f>
        <v>282277</v>
      </c>
      <c r="AB3" s="454">
        <v>85710</v>
      </c>
      <c r="AC3" s="455">
        <v>171624</v>
      </c>
      <c r="AD3" s="40">
        <f>AA3-AB3-AC3+57</f>
        <v>25000</v>
      </c>
      <c r="AE3" s="41">
        <f>SUM(AB3:AD3)</f>
        <v>282334</v>
      </c>
      <c r="AF3" s="41">
        <f>AA3-AE3</f>
        <v>-57</v>
      </c>
      <c r="AG3" s="42">
        <f>AA3-AB3-AC3-AD3</f>
        <v>-57</v>
      </c>
      <c r="AH3" s="17"/>
      <c r="AI3" s="17"/>
      <c r="AJ3" s="424" t="s">
        <v>239</v>
      </c>
      <c r="AK3" s="425" t="s">
        <v>193</v>
      </c>
      <c r="AL3" s="426" t="s">
        <v>197</v>
      </c>
      <c r="AM3" s="426" t="s">
        <v>240</v>
      </c>
      <c r="AO3" s="20">
        <f>21550/4.31</f>
        <v>5000</v>
      </c>
      <c r="AQ3" s="427" t="s">
        <v>5</v>
      </c>
      <c r="AR3" s="428" t="s">
        <v>4</v>
      </c>
      <c r="AS3" s="429" t="s">
        <v>35</v>
      </c>
      <c r="AT3" s="429" t="s">
        <v>241</v>
      </c>
      <c r="AU3" s="430" t="s">
        <v>242</v>
      </c>
    </row>
    <row r="4" spans="1:47" ht="18" x14ac:dyDescent="0.25">
      <c r="A4" s="21" t="s">
        <v>25</v>
      </c>
      <c r="B4" s="21" t="s">
        <v>26</v>
      </c>
      <c r="C4" s="22">
        <v>2</v>
      </c>
      <c r="D4" s="21" t="s">
        <v>27</v>
      </c>
      <c r="E4" s="23" t="s">
        <v>28</v>
      </c>
      <c r="F4" s="24" t="s">
        <v>36</v>
      </c>
      <c r="G4" s="25" t="s">
        <v>37</v>
      </c>
      <c r="H4" s="26"/>
      <c r="I4" s="518">
        <v>22400</v>
      </c>
      <c r="J4" s="26"/>
      <c r="K4" s="27">
        <f t="shared" si="0"/>
        <v>22400</v>
      </c>
      <c r="L4" s="28">
        <f t="shared" si="1"/>
        <v>186445</v>
      </c>
      <c r="M4" s="29"/>
      <c r="N4" s="799"/>
      <c r="O4" s="30">
        <f t="shared" si="2"/>
        <v>9.8983650022094569E-2</v>
      </c>
      <c r="P4" s="802"/>
      <c r="Q4" s="31">
        <f t="shared" si="3"/>
        <v>0</v>
      </c>
      <c r="R4" s="31"/>
      <c r="S4" s="28">
        <f t="shared" si="4"/>
        <v>0</v>
      </c>
      <c r="T4" s="28">
        <f t="shared" si="5"/>
        <v>22400</v>
      </c>
      <c r="U4" s="28">
        <f t="shared" si="6"/>
        <v>0</v>
      </c>
      <c r="V4" s="28">
        <f t="shared" si="7"/>
        <v>22400</v>
      </c>
      <c r="W4" s="31">
        <f t="shared" si="8"/>
        <v>186445</v>
      </c>
      <c r="X4" s="32">
        <f t="shared" si="9"/>
        <v>0</v>
      </c>
      <c r="Y4" s="37" t="s">
        <v>38</v>
      </c>
      <c r="Z4" s="38">
        <f>ROUND((Z13*43%),0)</f>
        <v>213538</v>
      </c>
      <c r="AA4" s="39">
        <f>ROUND((+Z14*0.43),0)</f>
        <v>212945</v>
      </c>
      <c r="AB4" s="43">
        <f>T105</f>
        <v>59394</v>
      </c>
      <c r="AC4" s="43">
        <f>S105</f>
        <v>153551</v>
      </c>
      <c r="AD4" s="40">
        <f>U105</f>
        <v>0</v>
      </c>
      <c r="AE4" s="41">
        <f>SUM(AB4:AD4)</f>
        <v>212945</v>
      </c>
      <c r="AF4" s="41">
        <f>AA4-AE4</f>
        <v>0</v>
      </c>
      <c r="AG4" s="42">
        <f>AA4-AB4-AC4-AD4</f>
        <v>0</v>
      </c>
      <c r="AH4" s="17"/>
      <c r="AI4" s="17">
        <v>17526</v>
      </c>
      <c r="AJ4" s="51">
        <v>15000</v>
      </c>
      <c r="AK4" s="19">
        <v>15000</v>
      </c>
      <c r="AL4" s="20">
        <v>0</v>
      </c>
      <c r="AM4" s="20">
        <v>7000</v>
      </c>
      <c r="AQ4" s="431" t="s">
        <v>243</v>
      </c>
      <c r="AR4" s="432" t="s">
        <v>29</v>
      </c>
      <c r="AS4" s="432">
        <v>3000</v>
      </c>
      <c r="AT4" s="433">
        <f>+K2+K27</f>
        <v>3000</v>
      </c>
      <c r="AU4" s="434">
        <f t="shared" ref="AU4:AU22" si="10">+AT4-AS4</f>
        <v>0</v>
      </c>
    </row>
    <row r="5" spans="1:47" ht="18" customHeight="1" x14ac:dyDescent="0.25">
      <c r="A5" s="21" t="s">
        <v>25</v>
      </c>
      <c r="B5" s="21" t="s">
        <v>26</v>
      </c>
      <c r="C5" s="22">
        <v>2</v>
      </c>
      <c r="D5" s="21" t="s">
        <v>27</v>
      </c>
      <c r="E5" s="23" t="s">
        <v>28</v>
      </c>
      <c r="F5" s="24" t="s">
        <v>39</v>
      </c>
      <c r="G5" s="25" t="s">
        <v>40</v>
      </c>
      <c r="H5" s="26">
        <v>0</v>
      </c>
      <c r="I5" s="518">
        <v>1200</v>
      </c>
      <c r="J5" s="26"/>
      <c r="K5" s="27">
        <f t="shared" si="0"/>
        <v>1200</v>
      </c>
      <c r="L5" s="28">
        <f t="shared" si="1"/>
        <v>185245</v>
      </c>
      <c r="M5" s="29"/>
      <c r="N5" s="799"/>
      <c r="O5" s="30">
        <f t="shared" si="2"/>
        <v>5.3026955368979233E-3</v>
      </c>
      <c r="P5" s="802"/>
      <c r="Q5" s="31">
        <f t="shared" si="3"/>
        <v>0</v>
      </c>
      <c r="R5" s="31"/>
      <c r="S5" s="28">
        <f t="shared" si="4"/>
        <v>0</v>
      </c>
      <c r="T5" s="28">
        <f t="shared" si="5"/>
        <v>1200</v>
      </c>
      <c r="U5" s="28">
        <f t="shared" si="6"/>
        <v>0</v>
      </c>
      <c r="V5" s="28">
        <f t="shared" si="7"/>
        <v>1200</v>
      </c>
      <c r="W5" s="31">
        <f t="shared" si="8"/>
        <v>185245</v>
      </c>
      <c r="X5" s="32">
        <f t="shared" si="9"/>
        <v>0</v>
      </c>
      <c r="Y5" s="44" t="s">
        <v>41</v>
      </c>
      <c r="Z5" s="38">
        <f>SUM(Z3:Z4)</f>
        <v>496600</v>
      </c>
      <c r="AA5" s="45">
        <f>SUM(AA3:AA4)</f>
        <v>495222</v>
      </c>
      <c r="AB5" s="46">
        <f>SUM(AB3:AB4)</f>
        <v>145104</v>
      </c>
      <c r="AC5" s="41">
        <f>SUM(AC3:AC4)</f>
        <v>325175</v>
      </c>
      <c r="AD5" s="40">
        <f>SUM(AD3:AD4)</f>
        <v>25000</v>
      </c>
      <c r="AE5" s="41">
        <f>SUM(AB5:AD5)</f>
        <v>495279</v>
      </c>
      <c r="AF5" s="47">
        <f>SUM(AF3:AF4)</f>
        <v>-57</v>
      </c>
      <c r="AG5" s="47">
        <f>SUM(AG3:AG4)</f>
        <v>-57</v>
      </c>
      <c r="AH5" s="17"/>
      <c r="AI5" s="70">
        <v>240.61</v>
      </c>
      <c r="AJ5" s="18">
        <f>AJ4/SUM(AJ4:AK4)</f>
        <v>0.5</v>
      </c>
      <c r="AK5" s="18">
        <f>AK4/SUM(AJ4:AK4)</f>
        <v>0.5</v>
      </c>
      <c r="AL5" s="18">
        <f>AL4/SUM(AJ4:AM4)</f>
        <v>0</v>
      </c>
      <c r="AM5" s="18">
        <f>AM4/SUM(AJ4:AM4)</f>
        <v>0.1891891891891892</v>
      </c>
      <c r="AQ5" s="431" t="s">
        <v>33</v>
      </c>
      <c r="AR5" s="432" t="s">
        <v>32</v>
      </c>
      <c r="AS5" s="432">
        <v>1100</v>
      </c>
      <c r="AT5" s="433">
        <f>+K3+K28</f>
        <v>1100</v>
      </c>
      <c r="AU5" s="434">
        <f t="shared" si="10"/>
        <v>0</v>
      </c>
    </row>
    <row r="6" spans="1:47" ht="18" customHeight="1" x14ac:dyDescent="0.25">
      <c r="A6" s="21" t="s">
        <v>25</v>
      </c>
      <c r="B6" s="21" t="s">
        <v>26</v>
      </c>
      <c r="C6" s="22">
        <v>2</v>
      </c>
      <c r="D6" s="21" t="s">
        <v>27</v>
      </c>
      <c r="E6" s="23" t="s">
        <v>28</v>
      </c>
      <c r="F6" s="24" t="s">
        <v>42</v>
      </c>
      <c r="G6" s="25" t="s">
        <v>43</v>
      </c>
      <c r="H6" s="518">
        <v>12000</v>
      </c>
      <c r="I6" s="26"/>
      <c r="J6" s="26"/>
      <c r="K6" s="27">
        <f t="shared" si="0"/>
        <v>12000</v>
      </c>
      <c r="L6" s="28">
        <f t="shared" si="1"/>
        <v>173245</v>
      </c>
      <c r="M6" s="29"/>
      <c r="N6" s="799"/>
      <c r="O6" s="30">
        <f t="shared" si="2"/>
        <v>5.302695536897923E-2</v>
      </c>
      <c r="P6" s="802"/>
      <c r="Q6" s="31">
        <f t="shared" si="3"/>
        <v>0</v>
      </c>
      <c r="R6" s="48"/>
      <c r="S6" s="28">
        <f t="shared" si="4"/>
        <v>12000</v>
      </c>
      <c r="T6" s="28">
        <f t="shared" si="5"/>
        <v>0</v>
      </c>
      <c r="U6" s="28">
        <f t="shared" si="6"/>
        <v>0</v>
      </c>
      <c r="V6" s="28">
        <f t="shared" si="7"/>
        <v>12000</v>
      </c>
      <c r="W6" s="31">
        <f t="shared" si="8"/>
        <v>173245</v>
      </c>
      <c r="X6" s="32">
        <f t="shared" si="9"/>
        <v>0</v>
      </c>
      <c r="Z6" s="49">
        <f>5000*43%</f>
        <v>2150</v>
      </c>
      <c r="AA6" s="50"/>
      <c r="AB6" s="17"/>
      <c r="AC6" s="50"/>
      <c r="AD6" s="51">
        <v>130500</v>
      </c>
      <c r="AE6" s="17"/>
      <c r="AF6" s="17"/>
      <c r="AH6" s="17"/>
      <c r="AJ6" s="19">
        <f>AI4*AJ5</f>
        <v>8763</v>
      </c>
      <c r="AK6" s="372">
        <f>AI4*AK5</f>
        <v>8763</v>
      </c>
      <c r="AL6" s="19">
        <f>AI4*AL5</f>
        <v>0</v>
      </c>
      <c r="AM6" s="50">
        <f>AI4*AM5</f>
        <v>3315.72972972973</v>
      </c>
      <c r="AQ6" s="435" t="s">
        <v>37</v>
      </c>
      <c r="AR6" s="436" t="s">
        <v>36</v>
      </c>
      <c r="AS6" s="432">
        <v>22400</v>
      </c>
      <c r="AT6" s="433">
        <f>+K4+K29+K38+K48</f>
        <v>22400</v>
      </c>
      <c r="AU6" s="434">
        <f t="shared" si="10"/>
        <v>0</v>
      </c>
    </row>
    <row r="7" spans="1:47" ht="18" x14ac:dyDescent="0.25">
      <c r="A7" s="21" t="s">
        <v>25</v>
      </c>
      <c r="B7" s="21" t="s">
        <v>26</v>
      </c>
      <c r="C7" s="22">
        <v>1</v>
      </c>
      <c r="D7" s="21" t="s">
        <v>27</v>
      </c>
      <c r="E7" s="23" t="s">
        <v>28</v>
      </c>
      <c r="F7" s="24" t="s">
        <v>44</v>
      </c>
      <c r="G7" s="25" t="s">
        <v>45</v>
      </c>
      <c r="H7" s="518">
        <f>12370+1796</f>
        <v>14166</v>
      </c>
      <c r="I7" s="518">
        <f>800+2430+604</f>
        <v>3834</v>
      </c>
      <c r="J7" s="26"/>
      <c r="K7" s="27">
        <f t="shared" si="0"/>
        <v>18000</v>
      </c>
      <c r="L7" s="28">
        <f t="shared" si="1"/>
        <v>155245</v>
      </c>
      <c r="M7" s="29"/>
      <c r="N7" s="799"/>
      <c r="O7" s="30">
        <f t="shared" si="2"/>
        <v>7.9540433053468848E-2</v>
      </c>
      <c r="P7" s="802"/>
      <c r="Q7" s="31">
        <f t="shared" si="3"/>
        <v>0</v>
      </c>
      <c r="R7" s="31"/>
      <c r="S7" s="28">
        <f t="shared" si="4"/>
        <v>14166</v>
      </c>
      <c r="T7" s="28">
        <f t="shared" si="5"/>
        <v>3834</v>
      </c>
      <c r="U7" s="28">
        <f t="shared" si="6"/>
        <v>0</v>
      </c>
      <c r="V7" s="28">
        <f t="shared" si="7"/>
        <v>18000</v>
      </c>
      <c r="W7" s="31">
        <f t="shared" si="8"/>
        <v>155245</v>
      </c>
      <c r="X7" s="32">
        <f t="shared" si="9"/>
        <v>0</v>
      </c>
      <c r="Y7" s="52"/>
      <c r="Z7" s="49">
        <f>5000*57%</f>
        <v>2849.9999999999995</v>
      </c>
      <c r="AA7" s="50"/>
      <c r="AB7" s="17"/>
      <c r="AC7" s="17"/>
      <c r="AD7" s="51"/>
      <c r="AE7" s="17"/>
      <c r="AF7" s="17"/>
      <c r="AG7" s="17"/>
      <c r="AH7" s="53"/>
      <c r="AI7" s="426" t="s">
        <v>35</v>
      </c>
      <c r="AJ7" s="19">
        <v>15000</v>
      </c>
      <c r="AK7" s="19">
        <v>15000</v>
      </c>
      <c r="AL7" s="19">
        <v>917</v>
      </c>
      <c r="AM7" s="19">
        <v>20000</v>
      </c>
      <c r="AQ7" s="435" t="s">
        <v>40</v>
      </c>
      <c r="AR7" s="436" t="s">
        <v>39</v>
      </c>
      <c r="AS7" s="432">
        <v>1200</v>
      </c>
      <c r="AT7" s="433">
        <f>+K5+K30</f>
        <v>1200</v>
      </c>
      <c r="AU7" s="434">
        <f t="shared" si="10"/>
        <v>0</v>
      </c>
    </row>
    <row r="8" spans="1:47" ht="18" customHeight="1" x14ac:dyDescent="0.25">
      <c r="A8" s="21" t="s">
        <v>25</v>
      </c>
      <c r="B8" s="21" t="s">
        <v>26</v>
      </c>
      <c r="C8" s="22">
        <v>1</v>
      </c>
      <c r="D8" s="21" t="s">
        <v>27</v>
      </c>
      <c r="E8" s="23" t="s">
        <v>28</v>
      </c>
      <c r="F8" s="24" t="s">
        <v>46</v>
      </c>
      <c r="G8" s="25" t="s">
        <v>45</v>
      </c>
      <c r="H8" s="518">
        <v>2500</v>
      </c>
      <c r="I8" s="26"/>
      <c r="J8" s="26"/>
      <c r="K8" s="27">
        <f t="shared" si="0"/>
        <v>2500</v>
      </c>
      <c r="L8" s="28">
        <f t="shared" si="1"/>
        <v>152745</v>
      </c>
      <c r="M8" s="29"/>
      <c r="N8" s="799"/>
      <c r="O8" s="30">
        <f t="shared" si="2"/>
        <v>1.104728236853734E-2</v>
      </c>
      <c r="P8" s="802"/>
      <c r="Q8" s="31">
        <f t="shared" si="3"/>
        <v>0</v>
      </c>
      <c r="R8" s="31"/>
      <c r="S8" s="28">
        <f t="shared" si="4"/>
        <v>2500</v>
      </c>
      <c r="T8" s="28">
        <f t="shared" si="5"/>
        <v>0</v>
      </c>
      <c r="U8" s="28">
        <f t="shared" si="6"/>
        <v>0</v>
      </c>
      <c r="V8" s="28">
        <f t="shared" si="7"/>
        <v>2500</v>
      </c>
      <c r="W8" s="31">
        <f t="shared" si="8"/>
        <v>152745</v>
      </c>
      <c r="X8" s="32">
        <f t="shared" si="9"/>
        <v>0</v>
      </c>
      <c r="Y8" s="14" t="s">
        <v>47</v>
      </c>
      <c r="Z8" s="54">
        <v>41918</v>
      </c>
      <c r="AA8" s="55" t="s">
        <v>48</v>
      </c>
      <c r="AB8" s="308" t="s">
        <v>164</v>
      </c>
      <c r="AC8" s="17"/>
      <c r="AD8" s="56"/>
      <c r="AE8" s="34"/>
      <c r="AF8" s="57"/>
      <c r="AG8" s="49"/>
      <c r="AH8" s="20" t="s">
        <v>8</v>
      </c>
      <c r="AJ8" s="19">
        <f>AJ6-AJ7</f>
        <v>-6237</v>
      </c>
      <c r="AK8" s="19">
        <f>AK6-AK7</f>
        <v>-6237</v>
      </c>
      <c r="AL8" s="19">
        <f>AL6-AL7</f>
        <v>-917</v>
      </c>
      <c r="AM8" s="19">
        <f>AM6-AM7</f>
        <v>-16684.27027027027</v>
      </c>
      <c r="AQ8" s="435" t="s">
        <v>43</v>
      </c>
      <c r="AR8" s="436" t="s">
        <v>42</v>
      </c>
      <c r="AS8" s="432">
        <v>12000</v>
      </c>
      <c r="AT8" s="433">
        <f>+K6+K31</f>
        <v>12000</v>
      </c>
      <c r="AU8" s="434">
        <f t="shared" si="10"/>
        <v>0</v>
      </c>
    </row>
    <row r="9" spans="1:47" ht="18" x14ac:dyDescent="0.25">
      <c r="A9" s="21" t="s">
        <v>25</v>
      </c>
      <c r="B9" s="21" t="s">
        <v>26</v>
      </c>
      <c r="C9" s="22">
        <v>2</v>
      </c>
      <c r="D9" s="21" t="s">
        <v>27</v>
      </c>
      <c r="E9" s="23" t="s">
        <v>28</v>
      </c>
      <c r="F9" s="24" t="s">
        <v>49</v>
      </c>
      <c r="G9" s="25" t="s">
        <v>50</v>
      </c>
      <c r="H9" s="518">
        <v>1194</v>
      </c>
      <c r="I9" s="518">
        <v>1006</v>
      </c>
      <c r="J9" s="26"/>
      <c r="K9" s="27">
        <f t="shared" si="0"/>
        <v>2200</v>
      </c>
      <c r="L9" s="28">
        <f t="shared" si="1"/>
        <v>150545</v>
      </c>
      <c r="M9" s="29"/>
      <c r="N9" s="799"/>
      <c r="O9" s="30">
        <f t="shared" si="2"/>
        <v>9.7216084843128586E-3</v>
      </c>
      <c r="P9" s="802"/>
      <c r="Q9" s="31">
        <f t="shared" si="3"/>
        <v>0</v>
      </c>
      <c r="R9" s="31"/>
      <c r="S9" s="28">
        <f t="shared" si="4"/>
        <v>1194</v>
      </c>
      <c r="T9" s="28">
        <f t="shared" si="5"/>
        <v>1006</v>
      </c>
      <c r="U9" s="28">
        <f t="shared" si="6"/>
        <v>0</v>
      </c>
      <c r="V9" s="28">
        <f t="shared" si="7"/>
        <v>2200</v>
      </c>
      <c r="W9" s="31">
        <f t="shared" si="8"/>
        <v>150545</v>
      </c>
      <c r="X9" s="32">
        <f t="shared" si="9"/>
        <v>0</v>
      </c>
      <c r="Y9" s="14" t="s">
        <v>189</v>
      </c>
      <c r="Z9" s="58">
        <f>496600-AB9</f>
        <v>496600</v>
      </c>
      <c r="AA9" s="59">
        <f>Z9*14.65/14.73</f>
        <v>493902.91921249148</v>
      </c>
      <c r="AB9" s="309">
        <v>0</v>
      </c>
      <c r="AC9" s="17" t="s">
        <v>165</v>
      </c>
      <c r="AD9" s="56"/>
      <c r="AE9" s="60">
        <v>170000</v>
      </c>
      <c r="AF9" s="60">
        <f>SUM(AF10:AF11)</f>
        <v>-145000</v>
      </c>
      <c r="AG9" s="49"/>
      <c r="AH9" s="61">
        <v>0</v>
      </c>
      <c r="AQ9" s="435" t="s">
        <v>43</v>
      </c>
      <c r="AR9" s="436" t="s">
        <v>51</v>
      </c>
      <c r="AS9" s="432">
        <v>10000</v>
      </c>
      <c r="AT9" s="433">
        <f>+K24+K46</f>
        <v>10000</v>
      </c>
      <c r="AU9" s="434">
        <f t="shared" si="10"/>
        <v>0</v>
      </c>
    </row>
    <row r="10" spans="1:47" ht="18" customHeight="1" x14ac:dyDescent="0.25">
      <c r="A10" s="21" t="s">
        <v>25</v>
      </c>
      <c r="B10" s="21" t="s">
        <v>26</v>
      </c>
      <c r="C10" s="22">
        <v>1</v>
      </c>
      <c r="D10" s="21" t="s">
        <v>52</v>
      </c>
      <c r="E10" s="23" t="s">
        <v>53</v>
      </c>
      <c r="F10" s="24" t="s">
        <v>54</v>
      </c>
      <c r="G10" s="25" t="s">
        <v>55</v>
      </c>
      <c r="H10" s="518">
        <v>15420</v>
      </c>
      <c r="I10" s="518">
        <v>4580</v>
      </c>
      <c r="J10" s="26"/>
      <c r="K10" s="27">
        <f t="shared" si="0"/>
        <v>20000</v>
      </c>
      <c r="L10" s="28">
        <f t="shared" si="1"/>
        <v>130545</v>
      </c>
      <c r="M10" s="29"/>
      <c r="N10" s="799"/>
      <c r="O10" s="30">
        <f t="shared" si="2"/>
        <v>8.8378258948298719E-2</v>
      </c>
      <c r="P10" s="802"/>
      <c r="Q10" s="31">
        <f t="shared" si="3"/>
        <v>0</v>
      </c>
      <c r="R10" s="31">
        <v>0</v>
      </c>
      <c r="S10" s="28">
        <f t="shared" si="4"/>
        <v>15420</v>
      </c>
      <c r="T10" s="28">
        <f t="shared" si="5"/>
        <v>4580</v>
      </c>
      <c r="U10" s="28">
        <f t="shared" si="6"/>
        <v>0</v>
      </c>
      <c r="V10" s="28">
        <f t="shared" si="7"/>
        <v>20000</v>
      </c>
      <c r="W10" s="31">
        <f t="shared" si="8"/>
        <v>130545</v>
      </c>
      <c r="X10" s="32">
        <f t="shared" si="9"/>
        <v>0</v>
      </c>
      <c r="Y10" s="14" t="s">
        <v>191</v>
      </c>
      <c r="Z10" s="58">
        <f>ROUND((Z9*Z30),0)</f>
        <v>495222</v>
      </c>
      <c r="AA10" s="59">
        <f>Z10*14.65/14.73</f>
        <v>492532.4032586558</v>
      </c>
      <c r="AB10" s="310">
        <f>AB9*Z28</f>
        <v>0</v>
      </c>
      <c r="AC10" s="17" t="s">
        <v>166</v>
      </c>
      <c r="AD10" s="56"/>
      <c r="AE10" s="60">
        <f>AE9*43%</f>
        <v>73100</v>
      </c>
      <c r="AF10" s="60">
        <f>AD4-AE10</f>
        <v>-73100</v>
      </c>
      <c r="AG10" s="62" t="s">
        <v>57</v>
      </c>
      <c r="AH10" s="63">
        <f>AH9*0.57</f>
        <v>0</v>
      </c>
      <c r="AJ10" s="17"/>
      <c r="AQ10" s="435" t="s">
        <v>45</v>
      </c>
      <c r="AR10" s="436" t="s">
        <v>44</v>
      </c>
      <c r="AS10" s="432">
        <v>18000</v>
      </c>
      <c r="AT10" s="433">
        <f>+K7+K32</f>
        <v>18000</v>
      </c>
      <c r="AU10" s="434">
        <f t="shared" si="10"/>
        <v>0</v>
      </c>
    </row>
    <row r="11" spans="1:47" ht="18" customHeight="1" x14ac:dyDescent="0.25">
      <c r="A11" s="21" t="s">
        <v>25</v>
      </c>
      <c r="B11" s="21" t="s">
        <v>26</v>
      </c>
      <c r="C11" s="22">
        <v>1</v>
      </c>
      <c r="D11" s="21" t="s">
        <v>52</v>
      </c>
      <c r="E11" s="23" t="s">
        <v>53</v>
      </c>
      <c r="F11" s="24" t="s">
        <v>58</v>
      </c>
      <c r="G11" s="25" t="s">
        <v>55</v>
      </c>
      <c r="H11" s="518">
        <v>18000</v>
      </c>
      <c r="I11" s="26"/>
      <c r="J11" s="26"/>
      <c r="K11" s="27">
        <f t="shared" si="0"/>
        <v>18000</v>
      </c>
      <c r="L11" s="28">
        <f t="shared" si="1"/>
        <v>112545</v>
      </c>
      <c r="M11" s="29"/>
      <c r="N11" s="799"/>
      <c r="O11" s="30">
        <f t="shared" si="2"/>
        <v>7.9540433053468848E-2</v>
      </c>
      <c r="P11" s="802"/>
      <c r="Q11" s="31">
        <f t="shared" si="3"/>
        <v>0</v>
      </c>
      <c r="R11" s="31">
        <v>0</v>
      </c>
      <c r="S11" s="28">
        <f t="shared" si="4"/>
        <v>18000</v>
      </c>
      <c r="T11" s="28">
        <f t="shared" si="5"/>
        <v>0</v>
      </c>
      <c r="U11" s="28">
        <f t="shared" si="6"/>
        <v>0</v>
      </c>
      <c r="V11" s="28">
        <f t="shared" si="7"/>
        <v>18000</v>
      </c>
      <c r="W11" s="31">
        <f t="shared" si="8"/>
        <v>112545</v>
      </c>
      <c r="X11" s="32">
        <f t="shared" si="9"/>
        <v>0</v>
      </c>
      <c r="Y11" s="14" t="s">
        <v>59</v>
      </c>
      <c r="Z11" s="58"/>
      <c r="AA11" s="59">
        <f>ROUND(Z11/Z27,0)*14.65/14.73</f>
        <v>0</v>
      </c>
      <c r="AB11" s="35"/>
      <c r="AC11" s="65"/>
      <c r="AD11" s="64"/>
      <c r="AE11" s="60">
        <f>AE9*57%</f>
        <v>96899.999999999985</v>
      </c>
      <c r="AF11" s="60">
        <f>AD3-AE11</f>
        <v>-71899.999999999985</v>
      </c>
      <c r="AG11" s="62" t="s">
        <v>56</v>
      </c>
      <c r="AH11" s="63">
        <f>AH9*0.43</f>
        <v>0</v>
      </c>
      <c r="AI11" s="17"/>
      <c r="AQ11" s="435" t="s">
        <v>45</v>
      </c>
      <c r="AR11" s="436" t="s">
        <v>46</v>
      </c>
      <c r="AS11" s="432">
        <v>2500</v>
      </c>
      <c r="AT11" s="433">
        <f>+K8+K33</f>
        <v>2500</v>
      </c>
      <c r="AU11" s="434">
        <f t="shared" si="10"/>
        <v>0</v>
      </c>
    </row>
    <row r="12" spans="1:47" ht="18" customHeight="1" x14ac:dyDescent="0.25">
      <c r="A12" s="21" t="s">
        <v>25</v>
      </c>
      <c r="B12" s="21" t="s">
        <v>26</v>
      </c>
      <c r="C12" s="22">
        <v>1</v>
      </c>
      <c r="D12" s="21" t="s">
        <v>52</v>
      </c>
      <c r="E12" s="23" t="s">
        <v>53</v>
      </c>
      <c r="F12" s="24" t="s">
        <v>62</v>
      </c>
      <c r="G12" s="25" t="s">
        <v>63</v>
      </c>
      <c r="H12" s="26"/>
      <c r="I12" s="518">
        <v>3600</v>
      </c>
      <c r="J12" s="26"/>
      <c r="K12" s="27">
        <f t="shared" si="0"/>
        <v>3600</v>
      </c>
      <c r="L12" s="28">
        <f t="shared" si="1"/>
        <v>108945</v>
      </c>
      <c r="M12" s="29"/>
      <c r="N12" s="799"/>
      <c r="O12" s="30">
        <f t="shared" si="2"/>
        <v>1.5908086610693768E-2</v>
      </c>
      <c r="P12" s="802"/>
      <c r="Q12" s="31">
        <f t="shared" si="3"/>
        <v>0</v>
      </c>
      <c r="R12" s="31">
        <v>0</v>
      </c>
      <c r="S12" s="28">
        <f t="shared" si="4"/>
        <v>0</v>
      </c>
      <c r="T12" s="28">
        <f t="shared" si="5"/>
        <v>3600</v>
      </c>
      <c r="U12" s="28">
        <f t="shared" si="6"/>
        <v>0</v>
      </c>
      <c r="V12" s="28">
        <f t="shared" si="7"/>
        <v>3600</v>
      </c>
      <c r="W12" s="31">
        <f t="shared" si="8"/>
        <v>108945</v>
      </c>
      <c r="X12" s="32">
        <f t="shared" si="9"/>
        <v>0</v>
      </c>
      <c r="Y12" s="14" t="s">
        <v>64</v>
      </c>
      <c r="Z12" s="58">
        <v>0</v>
      </c>
      <c r="AA12" s="59">
        <f>ROUND(Z12/Z28,0)*14.65/14.73</f>
        <v>0</v>
      </c>
      <c r="AB12" s="57">
        <f>Z12*57%</f>
        <v>0</v>
      </c>
      <c r="AC12" s="65">
        <f>Z12*43%</f>
        <v>0</v>
      </c>
      <c r="AD12" s="57"/>
      <c r="AE12" s="35"/>
      <c r="AF12" s="35"/>
      <c r="AG12" s="49"/>
      <c r="AH12" s="66">
        <f>SUM(AH10:AH11)</f>
        <v>0</v>
      </c>
      <c r="AQ12" s="435" t="s">
        <v>45</v>
      </c>
      <c r="AR12" s="436" t="s">
        <v>65</v>
      </c>
      <c r="AS12" s="432">
        <v>6000</v>
      </c>
      <c r="AT12" s="433">
        <f>+K17+K18+K43</f>
        <v>6000</v>
      </c>
      <c r="AU12" s="434">
        <f t="shared" si="10"/>
        <v>0</v>
      </c>
    </row>
    <row r="13" spans="1:47" ht="18" customHeight="1" x14ac:dyDescent="0.25">
      <c r="A13" s="21" t="s">
        <v>25</v>
      </c>
      <c r="B13" s="21" t="s">
        <v>26</v>
      </c>
      <c r="C13" s="22">
        <v>1</v>
      </c>
      <c r="D13" s="21" t="s">
        <v>52</v>
      </c>
      <c r="E13" s="23" t="s">
        <v>53</v>
      </c>
      <c r="F13" s="24" t="s">
        <v>66</v>
      </c>
      <c r="G13" s="25" t="s">
        <v>63</v>
      </c>
      <c r="H13" s="26"/>
      <c r="I13" s="518">
        <v>6000</v>
      </c>
      <c r="J13" s="26"/>
      <c r="K13" s="27">
        <f t="shared" si="0"/>
        <v>6000</v>
      </c>
      <c r="L13" s="28">
        <f t="shared" si="1"/>
        <v>102945</v>
      </c>
      <c r="M13" s="29"/>
      <c r="N13" s="799"/>
      <c r="O13" s="30">
        <f t="shared" si="2"/>
        <v>2.6513477684489615E-2</v>
      </c>
      <c r="P13" s="802"/>
      <c r="Q13" s="31">
        <f t="shared" si="3"/>
        <v>0</v>
      </c>
      <c r="R13" s="31">
        <v>0</v>
      </c>
      <c r="S13" s="28">
        <f t="shared" si="4"/>
        <v>0</v>
      </c>
      <c r="T13" s="28">
        <f t="shared" si="5"/>
        <v>6000</v>
      </c>
      <c r="U13" s="28">
        <f t="shared" si="6"/>
        <v>0</v>
      </c>
      <c r="V13" s="28">
        <f t="shared" si="7"/>
        <v>6000</v>
      </c>
      <c r="W13" s="31">
        <f t="shared" si="8"/>
        <v>102945</v>
      </c>
      <c r="X13" s="32">
        <f t="shared" si="9"/>
        <v>0</v>
      </c>
      <c r="Y13" s="14" t="s">
        <v>67</v>
      </c>
      <c r="Z13" s="67">
        <f>Z14/Z30</f>
        <v>496599.52441635431</v>
      </c>
      <c r="AA13" s="35"/>
      <c r="AB13" s="35"/>
      <c r="AC13" s="35"/>
      <c r="AD13" s="57"/>
      <c r="AE13" s="57"/>
      <c r="AF13" s="35"/>
      <c r="AK13" s="18"/>
      <c r="AL13" s="80"/>
      <c r="AM13" s="80"/>
      <c r="AO13" s="80"/>
      <c r="AQ13" s="435" t="s">
        <v>45</v>
      </c>
      <c r="AR13" s="436" t="s">
        <v>68</v>
      </c>
      <c r="AS13" s="432">
        <v>1500</v>
      </c>
      <c r="AT13" s="433">
        <f>+K19+K44</f>
        <v>0</v>
      </c>
      <c r="AU13" s="434">
        <f t="shared" si="10"/>
        <v>-1500</v>
      </c>
    </row>
    <row r="14" spans="1:47" ht="18" customHeight="1" x14ac:dyDescent="0.25">
      <c r="A14" s="21" t="s">
        <v>25</v>
      </c>
      <c r="B14" s="21" t="s">
        <v>26</v>
      </c>
      <c r="C14" s="22">
        <v>2</v>
      </c>
      <c r="D14" s="21" t="s">
        <v>52</v>
      </c>
      <c r="E14" s="23" t="s">
        <v>53</v>
      </c>
      <c r="F14" s="23" t="s">
        <v>69</v>
      </c>
      <c r="G14" s="25" t="s">
        <v>167</v>
      </c>
      <c r="H14" s="518">
        <v>17200</v>
      </c>
      <c r="I14" s="26">
        <v>0</v>
      </c>
      <c r="J14" s="26"/>
      <c r="K14" s="27">
        <f t="shared" si="0"/>
        <v>17200</v>
      </c>
      <c r="L14" s="28">
        <f t="shared" si="1"/>
        <v>85745</v>
      </c>
      <c r="M14" s="29"/>
      <c r="N14" s="799"/>
      <c r="O14" s="30">
        <f t="shared" si="2"/>
        <v>7.6005302695536903E-2</v>
      </c>
      <c r="P14" s="802"/>
      <c r="Q14" s="31">
        <f t="shared" si="3"/>
        <v>0</v>
      </c>
      <c r="R14" s="31">
        <v>0</v>
      </c>
      <c r="S14" s="28">
        <f t="shared" si="4"/>
        <v>17200</v>
      </c>
      <c r="T14" s="28">
        <f t="shared" si="5"/>
        <v>0</v>
      </c>
      <c r="U14" s="28">
        <f t="shared" si="6"/>
        <v>0</v>
      </c>
      <c r="V14" s="28">
        <f t="shared" si="7"/>
        <v>17200</v>
      </c>
      <c r="W14" s="31">
        <f t="shared" si="8"/>
        <v>85745</v>
      </c>
      <c r="X14" s="32">
        <f t="shared" si="9"/>
        <v>0</v>
      </c>
      <c r="Y14" s="14" t="s">
        <v>70</v>
      </c>
      <c r="Z14" s="67">
        <f>+Z10-(Z11+Z12)</f>
        <v>495222</v>
      </c>
      <c r="AA14" s="65"/>
      <c r="AB14" s="68"/>
      <c r="AC14" s="69"/>
      <c r="AD14" s="57"/>
      <c r="AE14" s="34"/>
      <c r="AG14" s="70"/>
      <c r="AH14" s="70"/>
      <c r="AI14" s="70"/>
      <c r="AK14" s="18"/>
      <c r="AL14" s="80"/>
      <c r="AM14" s="80"/>
      <c r="AO14" s="80"/>
      <c r="AQ14" s="435" t="s">
        <v>45</v>
      </c>
      <c r="AR14" s="436" t="s">
        <v>71</v>
      </c>
      <c r="AS14" s="432">
        <v>7500</v>
      </c>
      <c r="AT14" s="433">
        <f>+K22+K45</f>
        <v>7500</v>
      </c>
      <c r="AU14" s="434">
        <f t="shared" si="10"/>
        <v>0</v>
      </c>
    </row>
    <row r="15" spans="1:47" ht="18" customHeight="1" x14ac:dyDescent="0.25">
      <c r="A15" s="21" t="s">
        <v>25</v>
      </c>
      <c r="B15" s="21" t="s">
        <v>26</v>
      </c>
      <c r="C15" s="22">
        <v>3</v>
      </c>
      <c r="D15" s="21" t="s">
        <v>52</v>
      </c>
      <c r="E15" s="23" t="s">
        <v>53</v>
      </c>
      <c r="F15" s="23" t="s">
        <v>72</v>
      </c>
      <c r="G15" s="25" t="s">
        <v>168</v>
      </c>
      <c r="H15" s="518">
        <v>17200</v>
      </c>
      <c r="I15" s="26"/>
      <c r="J15" s="26"/>
      <c r="K15" s="27">
        <f t="shared" si="0"/>
        <v>17200</v>
      </c>
      <c r="L15" s="28">
        <f t="shared" si="1"/>
        <v>68545</v>
      </c>
      <c r="M15" s="29"/>
      <c r="N15" s="799"/>
      <c r="O15" s="30">
        <f t="shared" si="2"/>
        <v>7.6005302695536903E-2</v>
      </c>
      <c r="P15" s="802"/>
      <c r="Q15" s="31">
        <f t="shared" si="3"/>
        <v>0</v>
      </c>
      <c r="R15" s="31">
        <v>0</v>
      </c>
      <c r="S15" s="28">
        <f t="shared" si="4"/>
        <v>17200</v>
      </c>
      <c r="T15" s="28">
        <f t="shared" si="5"/>
        <v>0</v>
      </c>
      <c r="U15" s="28">
        <f t="shared" si="6"/>
        <v>0</v>
      </c>
      <c r="V15" s="28">
        <f t="shared" si="7"/>
        <v>17200</v>
      </c>
      <c r="W15" s="31">
        <f t="shared" si="8"/>
        <v>68545</v>
      </c>
      <c r="X15" s="32">
        <f t="shared" si="9"/>
        <v>0</v>
      </c>
      <c r="Y15" s="14" t="s">
        <v>190</v>
      </c>
      <c r="Z15" s="58">
        <f>0-AB9</f>
        <v>0</v>
      </c>
      <c r="AA15" s="59">
        <f>Z15*14.65/14.73</f>
        <v>0</v>
      </c>
      <c r="AB15" s="786" t="s">
        <v>73</v>
      </c>
      <c r="AC15" s="787"/>
      <c r="AD15" s="57"/>
      <c r="AE15" s="34"/>
      <c r="AG15" s="70"/>
      <c r="AH15" s="70"/>
      <c r="AK15" s="18"/>
      <c r="AL15" s="80"/>
      <c r="AM15" s="80"/>
      <c r="AO15" s="80"/>
      <c r="AQ15" s="435" t="s">
        <v>50</v>
      </c>
      <c r="AR15" s="436" t="s">
        <v>49</v>
      </c>
      <c r="AS15" s="432">
        <v>2200</v>
      </c>
      <c r="AT15" s="433">
        <f>+K9+K34</f>
        <v>2200</v>
      </c>
      <c r="AU15" s="434">
        <f t="shared" si="10"/>
        <v>0</v>
      </c>
    </row>
    <row r="16" spans="1:47" ht="18" customHeight="1" x14ac:dyDescent="0.25">
      <c r="A16" s="21" t="s">
        <v>25</v>
      </c>
      <c r="B16" s="21" t="s">
        <v>26</v>
      </c>
      <c r="C16" s="22">
        <v>3</v>
      </c>
      <c r="D16" s="21" t="s">
        <v>74</v>
      </c>
      <c r="E16" s="23" t="s">
        <v>53</v>
      </c>
      <c r="F16" s="24" t="s">
        <v>75</v>
      </c>
      <c r="G16" s="25" t="s">
        <v>76</v>
      </c>
      <c r="H16" s="518">
        <v>20500</v>
      </c>
      <c r="I16" s="26"/>
      <c r="J16" s="26"/>
      <c r="K16" s="27">
        <f t="shared" si="0"/>
        <v>20500</v>
      </c>
      <c r="L16" s="28">
        <f t="shared" si="1"/>
        <v>48045</v>
      </c>
      <c r="M16" s="29"/>
      <c r="N16" s="799"/>
      <c r="O16" s="30">
        <f t="shared" si="2"/>
        <v>9.0587715422006193E-2</v>
      </c>
      <c r="P16" s="802"/>
      <c r="Q16" s="31">
        <v>0</v>
      </c>
      <c r="R16" s="31">
        <v>0</v>
      </c>
      <c r="S16" s="28">
        <f t="shared" si="4"/>
        <v>20500</v>
      </c>
      <c r="T16" s="28">
        <f t="shared" si="5"/>
        <v>0</v>
      </c>
      <c r="U16" s="28">
        <f t="shared" si="6"/>
        <v>0</v>
      </c>
      <c r="V16" s="28">
        <f t="shared" si="7"/>
        <v>20500</v>
      </c>
      <c r="W16" s="31">
        <f t="shared" si="8"/>
        <v>48045</v>
      </c>
      <c r="X16" s="32">
        <f t="shared" si="9"/>
        <v>0</v>
      </c>
      <c r="Y16" s="14" t="s">
        <v>192</v>
      </c>
      <c r="Z16" s="58">
        <f>ROUND((Z15*Z30),0)</f>
        <v>0</v>
      </c>
      <c r="AA16" s="59">
        <f>Z16*14.65/14.73</f>
        <v>0</v>
      </c>
      <c r="AB16" s="788" t="s">
        <v>78</v>
      </c>
      <c r="AC16" s="789"/>
      <c r="AD16" s="56"/>
      <c r="AE16" s="34"/>
      <c r="AF16" s="366"/>
      <c r="AG16" s="70"/>
      <c r="AH16" s="70"/>
      <c r="AQ16" s="435" t="s">
        <v>55</v>
      </c>
      <c r="AR16" s="436" t="s">
        <v>54</v>
      </c>
      <c r="AS16" s="432">
        <v>20000</v>
      </c>
      <c r="AT16" s="433">
        <f>+K10+K35</f>
        <v>20000</v>
      </c>
      <c r="AU16" s="434">
        <f t="shared" si="10"/>
        <v>0</v>
      </c>
    </row>
    <row r="17" spans="1:47" ht="18" customHeight="1" x14ac:dyDescent="0.25">
      <c r="A17" s="21" t="s">
        <v>25</v>
      </c>
      <c r="B17" s="21" t="s">
        <v>26</v>
      </c>
      <c r="C17" s="22">
        <v>1</v>
      </c>
      <c r="D17" s="21" t="s">
        <v>52</v>
      </c>
      <c r="E17" s="23" t="s">
        <v>53</v>
      </c>
      <c r="F17" s="24" t="s">
        <v>65</v>
      </c>
      <c r="G17" s="25" t="s">
        <v>45</v>
      </c>
      <c r="H17" s="518">
        <v>680</v>
      </c>
      <c r="I17" s="518">
        <v>5000</v>
      </c>
      <c r="J17" s="26"/>
      <c r="K17" s="27">
        <f t="shared" si="0"/>
        <v>5680</v>
      </c>
      <c r="L17" s="28">
        <f t="shared" si="1"/>
        <v>42365</v>
      </c>
      <c r="M17" s="29"/>
      <c r="N17" s="799"/>
      <c r="O17" s="30">
        <f t="shared" si="2"/>
        <v>2.5099425541316837E-2</v>
      </c>
      <c r="P17" s="802"/>
      <c r="Q17" s="31">
        <f t="shared" si="3"/>
        <v>0</v>
      </c>
      <c r="R17" s="31">
        <v>0</v>
      </c>
      <c r="S17" s="28">
        <f t="shared" si="4"/>
        <v>680</v>
      </c>
      <c r="T17" s="28">
        <f t="shared" si="5"/>
        <v>5000</v>
      </c>
      <c r="U17" s="28">
        <f t="shared" si="6"/>
        <v>0</v>
      </c>
      <c r="V17" s="28">
        <f t="shared" si="7"/>
        <v>5680</v>
      </c>
      <c r="W17" s="31">
        <f t="shared" si="8"/>
        <v>42365</v>
      </c>
      <c r="X17" s="32">
        <f t="shared" si="9"/>
        <v>0</v>
      </c>
      <c r="AA17" s="35"/>
      <c r="AB17" s="790">
        <f>+Z61-Z24-((Z12+Z11)*0.43)</f>
        <v>0</v>
      </c>
      <c r="AC17" s="791"/>
      <c r="AD17" s="56"/>
      <c r="AE17" s="50"/>
      <c r="AF17" s="367"/>
      <c r="AG17" s="70"/>
      <c r="AH17" s="70"/>
      <c r="AQ17" s="435" t="s">
        <v>55</v>
      </c>
      <c r="AR17" s="436" t="s">
        <v>58</v>
      </c>
      <c r="AS17" s="432">
        <v>18000</v>
      </c>
      <c r="AT17" s="433">
        <f>+K11+K36</f>
        <v>18000</v>
      </c>
      <c r="AU17" s="434">
        <f t="shared" si="10"/>
        <v>0</v>
      </c>
    </row>
    <row r="18" spans="1:47" ht="18" x14ac:dyDescent="0.25">
      <c r="A18" s="21" t="s">
        <v>25</v>
      </c>
      <c r="B18" s="21" t="s">
        <v>26</v>
      </c>
      <c r="C18" s="22">
        <v>1</v>
      </c>
      <c r="D18" s="21" t="s">
        <v>80</v>
      </c>
      <c r="E18" s="23" t="s">
        <v>28</v>
      </c>
      <c r="F18" s="24" t="s">
        <v>65</v>
      </c>
      <c r="G18" s="25" t="s">
        <v>309</v>
      </c>
      <c r="H18" s="26"/>
      <c r="I18" s="518">
        <v>320</v>
      </c>
      <c r="J18" s="26"/>
      <c r="K18" s="27">
        <f t="shared" si="0"/>
        <v>320</v>
      </c>
      <c r="L18" s="28">
        <f t="shared" si="1"/>
        <v>42045</v>
      </c>
      <c r="M18" s="29"/>
      <c r="N18" s="799"/>
      <c r="O18" s="30"/>
      <c r="P18" s="802"/>
      <c r="Q18" s="31">
        <f t="shared" si="3"/>
        <v>0</v>
      </c>
      <c r="R18" s="31">
        <v>0</v>
      </c>
      <c r="S18" s="28">
        <f t="shared" si="4"/>
        <v>0</v>
      </c>
      <c r="T18" s="28">
        <f t="shared" si="5"/>
        <v>320</v>
      </c>
      <c r="U18" s="28">
        <f t="shared" si="6"/>
        <v>0</v>
      </c>
      <c r="V18" s="28">
        <f t="shared" si="7"/>
        <v>320</v>
      </c>
      <c r="W18" s="31">
        <f t="shared" si="8"/>
        <v>42045</v>
      </c>
      <c r="X18" s="32"/>
      <c r="Y18" s="14" t="s">
        <v>77</v>
      </c>
      <c r="Z18" s="71">
        <f>ROUND(Z14*0.43,0)</f>
        <v>212945</v>
      </c>
      <c r="AA18" s="35"/>
      <c r="AB18" s="73"/>
      <c r="AC18" s="73"/>
      <c r="AD18" s="56"/>
      <c r="AE18" s="50"/>
      <c r="AF18" s="367"/>
      <c r="AG18" s="70"/>
      <c r="AQ18" s="435" t="s">
        <v>55</v>
      </c>
      <c r="AR18" s="436" t="s">
        <v>81</v>
      </c>
      <c r="AS18" s="432">
        <v>12000</v>
      </c>
      <c r="AT18" s="433">
        <f>+K25+K47</f>
        <v>12000</v>
      </c>
      <c r="AU18" s="434">
        <f t="shared" si="10"/>
        <v>0</v>
      </c>
    </row>
    <row r="19" spans="1:47" ht="18" x14ac:dyDescent="0.25">
      <c r="A19" s="21" t="s">
        <v>25</v>
      </c>
      <c r="B19" s="21" t="s">
        <v>26</v>
      </c>
      <c r="C19" s="22">
        <v>1</v>
      </c>
      <c r="D19" s="21" t="s">
        <v>74</v>
      </c>
      <c r="E19" s="23" t="s">
        <v>53</v>
      </c>
      <c r="F19" s="24" t="s">
        <v>65</v>
      </c>
      <c r="G19" s="25" t="s">
        <v>45</v>
      </c>
      <c r="H19" s="26">
        <v>0</v>
      </c>
      <c r="I19" s="26"/>
      <c r="J19" s="26"/>
      <c r="K19" s="27">
        <f t="shared" si="0"/>
        <v>0</v>
      </c>
      <c r="L19" s="28">
        <f t="shared" si="1"/>
        <v>42045</v>
      </c>
      <c r="M19" s="29"/>
      <c r="N19" s="799"/>
      <c r="O19" s="30">
        <f t="shared" si="2"/>
        <v>0</v>
      </c>
      <c r="P19" s="802"/>
      <c r="Q19" s="31">
        <f t="shared" si="3"/>
        <v>0</v>
      </c>
      <c r="R19" s="31">
        <v>0</v>
      </c>
      <c r="S19" s="28">
        <f t="shared" si="4"/>
        <v>0</v>
      </c>
      <c r="T19" s="28">
        <f t="shared" si="5"/>
        <v>0</v>
      </c>
      <c r="U19" s="28">
        <f t="shared" si="6"/>
        <v>0</v>
      </c>
      <c r="V19" s="28">
        <f t="shared" si="7"/>
        <v>0</v>
      </c>
      <c r="W19" s="31">
        <f t="shared" si="8"/>
        <v>42045</v>
      </c>
      <c r="X19" s="32">
        <f t="shared" si="9"/>
        <v>0</v>
      </c>
      <c r="Y19" s="14" t="s">
        <v>79</v>
      </c>
      <c r="Z19" s="72"/>
      <c r="AA19" s="35"/>
      <c r="AB19" s="35"/>
      <c r="AC19" s="35"/>
      <c r="AD19" s="35"/>
      <c r="AE19" s="56"/>
      <c r="AF19" s="367"/>
      <c r="AJ19" s="32"/>
      <c r="AK19" s="373"/>
      <c r="AQ19" s="435" t="s">
        <v>63</v>
      </c>
      <c r="AR19" s="436" t="s">
        <v>62</v>
      </c>
      <c r="AS19" s="432">
        <v>3600</v>
      </c>
      <c r="AT19" s="433">
        <f>+K12+K37</f>
        <v>3600</v>
      </c>
      <c r="AU19" s="434">
        <f t="shared" si="10"/>
        <v>0</v>
      </c>
    </row>
    <row r="20" spans="1:47" ht="18" customHeight="1" x14ac:dyDescent="0.25">
      <c r="A20" s="21" t="s">
        <v>25</v>
      </c>
      <c r="B20" s="21" t="s">
        <v>26</v>
      </c>
      <c r="C20" s="22">
        <v>1</v>
      </c>
      <c r="D20" s="21" t="s">
        <v>74</v>
      </c>
      <c r="E20" s="23" t="s">
        <v>53</v>
      </c>
      <c r="F20" s="24" t="s">
        <v>68</v>
      </c>
      <c r="G20" s="25" t="s">
        <v>247</v>
      </c>
      <c r="H20" s="518">
        <v>1500</v>
      </c>
      <c r="I20" s="26">
        <v>0</v>
      </c>
      <c r="J20" s="26"/>
      <c r="K20" s="27">
        <f t="shared" si="0"/>
        <v>1500</v>
      </c>
      <c r="L20" s="28">
        <f t="shared" si="1"/>
        <v>40545</v>
      </c>
      <c r="M20" s="29"/>
      <c r="N20" s="799"/>
      <c r="O20" s="30">
        <f t="shared" si="2"/>
        <v>6.6283694211224037E-3</v>
      </c>
      <c r="P20" s="802"/>
      <c r="Q20" s="31">
        <f t="shared" si="3"/>
        <v>0</v>
      </c>
      <c r="R20" s="31">
        <v>0</v>
      </c>
      <c r="S20" s="28">
        <f t="shared" si="4"/>
        <v>1500</v>
      </c>
      <c r="T20" s="28">
        <f t="shared" si="5"/>
        <v>0</v>
      </c>
      <c r="U20" s="28">
        <f t="shared" si="6"/>
        <v>0</v>
      </c>
      <c r="V20" s="28">
        <f t="shared" si="7"/>
        <v>1500</v>
      </c>
      <c r="W20" s="31">
        <f t="shared" si="8"/>
        <v>40545</v>
      </c>
      <c r="X20" s="32"/>
      <c r="Y20" s="14"/>
      <c r="Z20" s="72"/>
      <c r="AA20" s="35"/>
      <c r="AB20" s="35"/>
      <c r="AC20" s="35"/>
      <c r="AD20" s="35"/>
      <c r="AE20" s="56"/>
      <c r="AF20" s="367"/>
      <c r="AJ20" s="32"/>
      <c r="AK20" s="373"/>
      <c r="AQ20" s="449"/>
      <c r="AR20" s="450"/>
      <c r="AS20" s="451"/>
      <c r="AT20" s="452"/>
      <c r="AU20" s="453"/>
    </row>
    <row r="21" spans="1:47" ht="18" x14ac:dyDescent="0.25">
      <c r="A21" s="21" t="s">
        <v>25</v>
      </c>
      <c r="B21" s="21" t="s">
        <v>26</v>
      </c>
      <c r="C21" s="22">
        <v>1</v>
      </c>
      <c r="D21" s="21" t="s">
        <v>52</v>
      </c>
      <c r="E21" s="23" t="s">
        <v>53</v>
      </c>
      <c r="F21" s="24" t="s">
        <v>68</v>
      </c>
      <c r="G21" s="25" t="s">
        <v>278</v>
      </c>
      <c r="H21" s="26">
        <v>0</v>
      </c>
      <c r="I21" s="26">
        <v>0</v>
      </c>
      <c r="J21" s="26"/>
      <c r="K21" s="27">
        <f t="shared" si="0"/>
        <v>0</v>
      </c>
      <c r="L21" s="28">
        <f t="shared" si="1"/>
        <v>40545</v>
      </c>
      <c r="M21" s="29"/>
      <c r="N21" s="799"/>
      <c r="O21" s="30"/>
      <c r="P21" s="802"/>
      <c r="Q21" s="31">
        <f t="shared" si="3"/>
        <v>0</v>
      </c>
      <c r="R21" s="31">
        <v>0</v>
      </c>
      <c r="S21" s="28">
        <f t="shared" si="4"/>
        <v>0</v>
      </c>
      <c r="T21" s="28">
        <f t="shared" si="5"/>
        <v>0</v>
      </c>
      <c r="U21" s="28">
        <f t="shared" si="6"/>
        <v>0</v>
      </c>
      <c r="V21" s="28">
        <f t="shared" si="7"/>
        <v>0</v>
      </c>
      <c r="W21" s="31">
        <f t="shared" si="8"/>
        <v>40545</v>
      </c>
      <c r="X21" s="32"/>
      <c r="Y21" s="457"/>
      <c r="Z21" s="181"/>
      <c r="AA21" s="35"/>
      <c r="AB21" s="35"/>
      <c r="AC21" s="35"/>
      <c r="AD21" s="35"/>
      <c r="AE21" s="56"/>
      <c r="AF21" s="367"/>
      <c r="AJ21" s="32"/>
      <c r="AK21" s="373"/>
      <c r="AQ21" s="449"/>
      <c r="AR21" s="450"/>
      <c r="AS21" s="451"/>
      <c r="AT21" s="452"/>
      <c r="AU21" s="453"/>
    </row>
    <row r="22" spans="1:47" ht="18.75" customHeight="1" thickBot="1" x14ac:dyDescent="0.3">
      <c r="A22" s="21" t="s">
        <v>25</v>
      </c>
      <c r="B22" s="21" t="s">
        <v>26</v>
      </c>
      <c r="C22" s="22">
        <v>1</v>
      </c>
      <c r="D22" s="21" t="s">
        <v>52</v>
      </c>
      <c r="E22" s="23" t="s">
        <v>53</v>
      </c>
      <c r="F22" s="24" t="s">
        <v>71</v>
      </c>
      <c r="G22" s="25" t="s">
        <v>45</v>
      </c>
      <c r="H22" s="518">
        <v>7500</v>
      </c>
      <c r="I22" s="26">
        <v>0</v>
      </c>
      <c r="J22" s="26"/>
      <c r="K22" s="27">
        <f t="shared" si="0"/>
        <v>7500</v>
      </c>
      <c r="L22" s="28">
        <f t="shared" si="1"/>
        <v>33045</v>
      </c>
      <c r="M22" s="29"/>
      <c r="N22" s="799"/>
      <c r="O22" s="30">
        <f t="shared" si="2"/>
        <v>3.3141847105612021E-2</v>
      </c>
      <c r="P22" s="802"/>
      <c r="Q22" s="31">
        <f t="shared" si="3"/>
        <v>0</v>
      </c>
      <c r="R22" s="31">
        <v>0</v>
      </c>
      <c r="S22" s="28">
        <f t="shared" si="4"/>
        <v>7500</v>
      </c>
      <c r="T22" s="28">
        <f t="shared" si="5"/>
        <v>0</v>
      </c>
      <c r="U22" s="28">
        <f t="shared" si="6"/>
        <v>0</v>
      </c>
      <c r="V22" s="28">
        <f t="shared" si="7"/>
        <v>7500</v>
      </c>
      <c r="W22" s="31">
        <f t="shared" si="8"/>
        <v>33045</v>
      </c>
      <c r="X22" s="32">
        <f t="shared" si="9"/>
        <v>0</v>
      </c>
      <c r="Y22" s="14"/>
      <c r="Z22" s="72"/>
      <c r="AE22" s="76"/>
      <c r="AF22" s="51"/>
      <c r="AG22" s="70"/>
      <c r="AJ22" s="185"/>
      <c r="AK22" s="373"/>
      <c r="AQ22" s="437" t="s">
        <v>63</v>
      </c>
      <c r="AR22" s="438" t="s">
        <v>66</v>
      </c>
      <c r="AS22" s="439">
        <v>6000</v>
      </c>
      <c r="AT22" s="440">
        <f>+K13+K39</f>
        <v>6000</v>
      </c>
      <c r="AU22" s="441">
        <f t="shared" si="10"/>
        <v>0</v>
      </c>
    </row>
    <row r="23" spans="1:47" ht="18.75" customHeight="1" x14ac:dyDescent="0.25">
      <c r="A23" s="21" t="s">
        <v>25</v>
      </c>
      <c r="B23" s="21" t="s">
        <v>26</v>
      </c>
      <c r="C23" s="22">
        <v>1</v>
      </c>
      <c r="D23" s="21" t="s">
        <v>74</v>
      </c>
      <c r="E23" s="23" t="s">
        <v>53</v>
      </c>
      <c r="F23" s="24" t="s">
        <v>71</v>
      </c>
      <c r="G23" s="25" t="s">
        <v>45</v>
      </c>
      <c r="H23" s="26">
        <v>0</v>
      </c>
      <c r="I23" s="26"/>
      <c r="J23" s="26"/>
      <c r="K23" s="27">
        <f t="shared" si="0"/>
        <v>0</v>
      </c>
      <c r="L23" s="28">
        <f t="shared" si="1"/>
        <v>33045</v>
      </c>
      <c r="M23" s="29"/>
      <c r="N23" s="799"/>
      <c r="O23" s="30"/>
      <c r="P23" s="802"/>
      <c r="Q23" s="31">
        <f t="shared" si="3"/>
        <v>0</v>
      </c>
      <c r="R23" s="31"/>
      <c r="S23" s="28">
        <f t="shared" si="4"/>
        <v>0</v>
      </c>
      <c r="T23" s="28">
        <f t="shared" si="5"/>
        <v>0</v>
      </c>
      <c r="U23" s="28">
        <f t="shared" si="6"/>
        <v>0</v>
      </c>
      <c r="V23" s="28">
        <f t="shared" si="7"/>
        <v>0</v>
      </c>
      <c r="W23" s="31">
        <f t="shared" si="8"/>
        <v>33045</v>
      </c>
      <c r="X23" s="32"/>
      <c r="Y23" s="14"/>
      <c r="Z23" s="72"/>
      <c r="AE23" s="76"/>
      <c r="AF23" s="51"/>
      <c r="AG23" s="70"/>
      <c r="AJ23" s="185"/>
      <c r="AK23" s="373"/>
      <c r="AQ23" s="196"/>
      <c r="AR23" s="196"/>
      <c r="AS23" s="555"/>
      <c r="AT23" s="556"/>
      <c r="AU23" s="557"/>
    </row>
    <row r="24" spans="1:47" ht="18" customHeight="1" x14ac:dyDescent="0.25">
      <c r="A24" s="21" t="s">
        <v>25</v>
      </c>
      <c r="B24" s="21" t="s">
        <v>26</v>
      </c>
      <c r="C24" s="22">
        <v>2</v>
      </c>
      <c r="D24" s="21" t="s">
        <v>74</v>
      </c>
      <c r="E24" s="23" t="s">
        <v>53</v>
      </c>
      <c r="F24" s="24" t="s">
        <v>51</v>
      </c>
      <c r="G24" s="25" t="s">
        <v>43</v>
      </c>
      <c r="H24" s="26"/>
      <c r="I24" s="26"/>
      <c r="J24" s="26"/>
      <c r="K24" s="27">
        <f t="shared" si="0"/>
        <v>0</v>
      </c>
      <c r="L24" s="28">
        <f t="shared" si="1"/>
        <v>33045</v>
      </c>
      <c r="M24" s="29"/>
      <c r="N24" s="799"/>
      <c r="O24" s="30">
        <f t="shared" si="2"/>
        <v>0</v>
      </c>
      <c r="P24" s="802"/>
      <c r="Q24" s="31">
        <f t="shared" si="3"/>
        <v>0</v>
      </c>
      <c r="R24" s="31">
        <v>0</v>
      </c>
      <c r="S24" s="28">
        <f t="shared" si="4"/>
        <v>0</v>
      </c>
      <c r="T24" s="28">
        <f t="shared" si="5"/>
        <v>0</v>
      </c>
      <c r="U24" s="28">
        <f t="shared" si="6"/>
        <v>0</v>
      </c>
      <c r="V24" s="28">
        <f t="shared" si="7"/>
        <v>0</v>
      </c>
      <c r="W24" s="31">
        <f>+W22-V24</f>
        <v>33045</v>
      </c>
      <c r="X24" s="32">
        <f t="shared" si="9"/>
        <v>0</v>
      </c>
      <c r="Y24" s="74" t="s">
        <v>169</v>
      </c>
      <c r="Z24" s="75">
        <f>+Z18+Z19</f>
        <v>212945</v>
      </c>
      <c r="AA24" s="53"/>
      <c r="AB24" s="77"/>
      <c r="AC24" s="78" t="s">
        <v>82</v>
      </c>
      <c r="AD24" s="78" t="s">
        <v>56</v>
      </c>
      <c r="AE24" s="79" t="s">
        <v>83</v>
      </c>
      <c r="AF24" s="80"/>
      <c r="AG24" s="70"/>
      <c r="AJ24" s="13"/>
      <c r="AK24" s="373"/>
    </row>
    <row r="25" spans="1:47" ht="18" customHeight="1" x14ac:dyDescent="0.25">
      <c r="A25" s="21" t="s">
        <v>25</v>
      </c>
      <c r="B25" s="21" t="s">
        <v>26</v>
      </c>
      <c r="C25" s="22">
        <v>3</v>
      </c>
      <c r="D25" s="21" t="s">
        <v>52</v>
      </c>
      <c r="E25" s="23" t="s">
        <v>53</v>
      </c>
      <c r="F25" s="24" t="s">
        <v>81</v>
      </c>
      <c r="G25" s="25" t="s">
        <v>55</v>
      </c>
      <c r="H25" s="518">
        <v>12000</v>
      </c>
      <c r="I25" s="26"/>
      <c r="J25" s="26"/>
      <c r="K25" s="27">
        <f t="shared" si="0"/>
        <v>12000</v>
      </c>
      <c r="L25" s="28">
        <f t="shared" si="1"/>
        <v>21045</v>
      </c>
      <c r="M25" s="29"/>
      <c r="N25" s="799"/>
      <c r="O25" s="30">
        <f t="shared" si="2"/>
        <v>5.302695536897923E-2</v>
      </c>
      <c r="P25" s="802"/>
      <c r="Q25" s="31">
        <f t="shared" si="3"/>
        <v>0</v>
      </c>
      <c r="R25" s="31"/>
      <c r="S25" s="28">
        <f t="shared" si="4"/>
        <v>12000</v>
      </c>
      <c r="T25" s="28">
        <f t="shared" si="5"/>
        <v>0</v>
      </c>
      <c r="U25" s="28">
        <f t="shared" si="6"/>
        <v>0</v>
      </c>
      <c r="V25" s="28">
        <f t="shared" si="7"/>
        <v>12000</v>
      </c>
      <c r="W25" s="31">
        <f t="shared" ref="W25:W88" si="11">+W24-V25</f>
        <v>21045</v>
      </c>
      <c r="X25" s="32">
        <f t="shared" si="9"/>
        <v>0</v>
      </c>
      <c r="Z25" s="20"/>
      <c r="AA25" s="56"/>
      <c r="AB25" s="14">
        <v>188000</v>
      </c>
      <c r="AC25" s="14"/>
      <c r="AD25" s="14">
        <v>60200</v>
      </c>
      <c r="AE25" s="14">
        <f>AB25-AD25</f>
        <v>127800</v>
      </c>
      <c r="AF25" s="50"/>
      <c r="AG25" s="17"/>
      <c r="AJ25" s="213"/>
      <c r="AK25" s="374"/>
    </row>
    <row r="26" spans="1:47" ht="18.75" customHeight="1" thickBot="1" x14ac:dyDescent="0.3">
      <c r="A26" s="82" t="s">
        <v>25</v>
      </c>
      <c r="B26" s="82" t="s">
        <v>26</v>
      </c>
      <c r="C26" s="83">
        <v>5</v>
      </c>
      <c r="D26" s="82" t="s">
        <v>85</v>
      </c>
      <c r="E26" s="84" t="s">
        <v>85</v>
      </c>
      <c r="F26" s="84" t="s">
        <v>86</v>
      </c>
      <c r="G26" s="85" t="s">
        <v>8</v>
      </c>
      <c r="H26" s="143"/>
      <c r="I26" s="143"/>
      <c r="J26" s="561">
        <v>34400</v>
      </c>
      <c r="K26" s="442">
        <f t="shared" si="0"/>
        <v>34400</v>
      </c>
      <c r="L26" s="28">
        <f t="shared" si="1"/>
        <v>-13355</v>
      </c>
      <c r="M26" s="86"/>
      <c r="N26" s="800"/>
      <c r="O26" s="87">
        <f t="shared" si="2"/>
        <v>0.15201060539107381</v>
      </c>
      <c r="P26" s="803"/>
      <c r="Q26" s="144">
        <f t="shared" si="3"/>
        <v>0</v>
      </c>
      <c r="R26" s="144">
        <v>-34400</v>
      </c>
      <c r="S26" s="423">
        <f t="shared" si="4"/>
        <v>0</v>
      </c>
      <c r="T26" s="423">
        <f t="shared" si="5"/>
        <v>0</v>
      </c>
      <c r="U26" s="423">
        <f t="shared" si="6"/>
        <v>0</v>
      </c>
      <c r="V26" s="423">
        <f t="shared" si="7"/>
        <v>0</v>
      </c>
      <c r="W26" s="31">
        <f t="shared" si="11"/>
        <v>21045</v>
      </c>
      <c r="X26" s="32">
        <f t="shared" si="9"/>
        <v>34400</v>
      </c>
      <c r="Y26" s="81" t="s">
        <v>84</v>
      </c>
      <c r="Z26" s="34"/>
      <c r="AA26" s="89"/>
      <c r="AB26" s="14">
        <v>240000</v>
      </c>
      <c r="AC26" s="90">
        <f>AB26-AB25</f>
        <v>52000</v>
      </c>
      <c r="AD26" s="90">
        <f>AC26*43%</f>
        <v>22360</v>
      </c>
      <c r="AE26" s="90">
        <f>AC26*57%</f>
        <v>29639.999999999996</v>
      </c>
      <c r="AH26" s="80"/>
      <c r="AK26" s="19"/>
    </row>
    <row r="27" spans="1:47" ht="18" customHeight="1" x14ac:dyDescent="0.25">
      <c r="A27" s="91" t="s">
        <v>25</v>
      </c>
      <c r="B27" s="91" t="s">
        <v>87</v>
      </c>
      <c r="C27" s="92">
        <v>1</v>
      </c>
      <c r="D27" s="91" t="s">
        <v>27</v>
      </c>
      <c r="E27" s="93" t="s">
        <v>28</v>
      </c>
      <c r="F27" s="93" t="s">
        <v>29</v>
      </c>
      <c r="G27" s="94" t="s">
        <v>88</v>
      </c>
      <c r="H27" s="316"/>
      <c r="I27" s="316"/>
      <c r="J27" s="316"/>
      <c r="K27" s="443">
        <f t="shared" si="0"/>
        <v>0</v>
      </c>
      <c r="L27" s="28">
        <f t="shared" si="1"/>
        <v>-13355</v>
      </c>
      <c r="M27" s="95"/>
      <c r="N27" s="804">
        <f>SUM(K27:K49)</f>
        <v>10000</v>
      </c>
      <c r="O27" s="96">
        <f t="shared" si="2"/>
        <v>0</v>
      </c>
      <c r="P27" s="805"/>
      <c r="Q27" s="97">
        <f t="shared" si="3"/>
        <v>0</v>
      </c>
      <c r="R27" s="157"/>
      <c r="S27" s="422">
        <f t="shared" si="4"/>
        <v>0</v>
      </c>
      <c r="T27" s="422">
        <f t="shared" si="5"/>
        <v>0</v>
      </c>
      <c r="U27" s="422">
        <f t="shared" si="6"/>
        <v>0</v>
      </c>
      <c r="V27" s="422">
        <f t="shared" si="7"/>
        <v>0</v>
      </c>
      <c r="W27" s="31">
        <f t="shared" si="11"/>
        <v>21045</v>
      </c>
      <c r="X27" s="32">
        <f t="shared" si="9"/>
        <v>34400</v>
      </c>
      <c r="Y27" s="14" t="s">
        <v>17</v>
      </c>
      <c r="Z27" s="88">
        <v>0.99720759999999997</v>
      </c>
      <c r="AA27" s="57">
        <f>5000*Z27</f>
        <v>4986.0379999999996</v>
      </c>
      <c r="AB27" s="14"/>
      <c r="AC27" s="14">
        <f>AB26</f>
        <v>240000</v>
      </c>
      <c r="AD27" s="14">
        <f>SUM(AD25:AD26)</f>
        <v>82560</v>
      </c>
      <c r="AE27" s="78">
        <f>SUM(AE25:AE26)</f>
        <v>157440</v>
      </c>
      <c r="AH27" s="80"/>
    </row>
    <row r="28" spans="1:47" ht="18" customHeight="1" x14ac:dyDescent="0.25">
      <c r="A28" s="98" t="s">
        <v>25</v>
      </c>
      <c r="B28" s="98" t="s">
        <v>87</v>
      </c>
      <c r="C28" s="99">
        <v>1</v>
      </c>
      <c r="D28" s="98" t="s">
        <v>27</v>
      </c>
      <c r="E28" s="100" t="s">
        <v>28</v>
      </c>
      <c r="F28" s="100" t="s">
        <v>32</v>
      </c>
      <c r="G28" s="101" t="s">
        <v>33</v>
      </c>
      <c r="H28" s="26"/>
      <c r="I28" s="26"/>
      <c r="J28" s="26"/>
      <c r="K28" s="27">
        <f t="shared" si="0"/>
        <v>0</v>
      </c>
      <c r="L28" s="28">
        <f t="shared" si="1"/>
        <v>-13355</v>
      </c>
      <c r="M28" s="29"/>
      <c r="N28" s="799"/>
      <c r="O28" s="30">
        <f t="shared" si="2"/>
        <v>0</v>
      </c>
      <c r="P28" s="802"/>
      <c r="Q28" s="31">
        <f t="shared" si="3"/>
        <v>0</v>
      </c>
      <c r="R28" s="31"/>
      <c r="S28" s="28">
        <f t="shared" si="4"/>
        <v>0</v>
      </c>
      <c r="T28" s="28">
        <f t="shared" si="5"/>
        <v>0</v>
      </c>
      <c r="U28" s="28">
        <f t="shared" si="6"/>
        <v>0</v>
      </c>
      <c r="V28" s="28">
        <f t="shared" si="7"/>
        <v>0</v>
      </c>
      <c r="W28" s="31">
        <f t="shared" si="11"/>
        <v>21045</v>
      </c>
      <c r="X28" s="32">
        <f t="shared" si="9"/>
        <v>34400</v>
      </c>
      <c r="Y28" s="14" t="s">
        <v>7</v>
      </c>
      <c r="Z28" s="88">
        <v>0.99742098000000001</v>
      </c>
      <c r="AA28" s="57">
        <f>5000*Z28</f>
        <v>4987.1049000000003</v>
      </c>
      <c r="AB28" s="35"/>
      <c r="AC28" s="35"/>
      <c r="AD28" s="56">
        <f>AD25-AD4</f>
        <v>60200</v>
      </c>
    </row>
    <row r="29" spans="1:47" ht="18" customHeight="1" x14ac:dyDescent="0.25">
      <c r="A29" s="98" t="s">
        <v>25</v>
      </c>
      <c r="B29" s="98" t="s">
        <v>87</v>
      </c>
      <c r="C29" s="99">
        <v>2</v>
      </c>
      <c r="D29" s="98" t="s">
        <v>27</v>
      </c>
      <c r="E29" s="100" t="s">
        <v>28</v>
      </c>
      <c r="F29" s="100" t="s">
        <v>36</v>
      </c>
      <c r="G29" s="101" t="s">
        <v>37</v>
      </c>
      <c r="H29" s="26"/>
      <c r="I29" s="26"/>
      <c r="J29" s="26"/>
      <c r="K29" s="27">
        <f t="shared" si="0"/>
        <v>0</v>
      </c>
      <c r="L29" s="28">
        <f t="shared" si="1"/>
        <v>-13355</v>
      </c>
      <c r="M29" s="29"/>
      <c r="N29" s="799"/>
      <c r="O29" s="30">
        <f t="shared" si="2"/>
        <v>0</v>
      </c>
      <c r="P29" s="802"/>
      <c r="Q29" s="31">
        <f t="shared" si="3"/>
        <v>0</v>
      </c>
      <c r="R29" s="31"/>
      <c r="S29" s="28">
        <f t="shared" si="4"/>
        <v>0</v>
      </c>
      <c r="T29" s="28">
        <f t="shared" si="5"/>
        <v>0</v>
      </c>
      <c r="U29" s="28">
        <f t="shared" si="6"/>
        <v>0</v>
      </c>
      <c r="V29" s="28">
        <f t="shared" si="7"/>
        <v>0</v>
      </c>
      <c r="W29" s="31">
        <f t="shared" si="11"/>
        <v>21045</v>
      </c>
      <c r="X29" s="32">
        <f t="shared" si="9"/>
        <v>34400</v>
      </c>
      <c r="Y29" s="14" t="s">
        <v>8</v>
      </c>
      <c r="Z29" s="88">
        <v>0.997049677739131</v>
      </c>
      <c r="AA29" s="35"/>
      <c r="AB29" s="65"/>
      <c r="AC29" s="35" t="s">
        <v>90</v>
      </c>
      <c r="AD29" s="35"/>
      <c r="AG29" s="70"/>
    </row>
    <row r="30" spans="1:47" ht="18" customHeight="1" x14ac:dyDescent="0.25">
      <c r="A30" s="98" t="s">
        <v>25</v>
      </c>
      <c r="B30" s="98" t="s">
        <v>87</v>
      </c>
      <c r="C30" s="99">
        <v>2</v>
      </c>
      <c r="D30" s="98" t="s">
        <v>27</v>
      </c>
      <c r="E30" s="100" t="s">
        <v>28</v>
      </c>
      <c r="F30" s="100" t="s">
        <v>39</v>
      </c>
      <c r="G30" s="101" t="s">
        <v>40</v>
      </c>
      <c r="H30" s="26"/>
      <c r="I30" s="26"/>
      <c r="J30" s="26"/>
      <c r="K30" s="27">
        <f t="shared" si="0"/>
        <v>0</v>
      </c>
      <c r="L30" s="28">
        <f t="shared" si="1"/>
        <v>-13355</v>
      </c>
      <c r="M30" s="29"/>
      <c r="N30" s="799"/>
      <c r="O30" s="30">
        <f t="shared" ref="O30:O56" si="12">+K30/$N$27</f>
        <v>0</v>
      </c>
      <c r="P30" s="802"/>
      <c r="Q30" s="31">
        <f>IF($P$30=0,0,(-($P$30*O30)+K30)-K30)</f>
        <v>0</v>
      </c>
      <c r="R30" s="31"/>
      <c r="S30" s="28">
        <f t="shared" si="4"/>
        <v>0</v>
      </c>
      <c r="T30" s="28">
        <f t="shared" si="5"/>
        <v>0</v>
      </c>
      <c r="U30" s="28">
        <f t="shared" si="6"/>
        <v>0</v>
      </c>
      <c r="V30" s="28">
        <f t="shared" si="7"/>
        <v>0</v>
      </c>
      <c r="W30" s="31">
        <f t="shared" si="11"/>
        <v>21045</v>
      </c>
      <c r="X30" s="32">
        <f t="shared" si="9"/>
        <v>34400</v>
      </c>
      <c r="Y30" s="74" t="s">
        <v>89</v>
      </c>
      <c r="Z30" s="102">
        <f>AVERAGE(Z27:Z29)</f>
        <v>0.99722608591304374</v>
      </c>
      <c r="AA30" s="35"/>
      <c r="AB30" s="35"/>
      <c r="AC30" s="57"/>
      <c r="AD30" s="56"/>
      <c r="AF30" s="103"/>
      <c r="AG30" s="17"/>
    </row>
    <row r="31" spans="1:47" ht="18" customHeight="1" x14ac:dyDescent="0.25">
      <c r="A31" s="98" t="s">
        <v>25</v>
      </c>
      <c r="B31" s="98" t="s">
        <v>87</v>
      </c>
      <c r="C31" s="99">
        <v>2</v>
      </c>
      <c r="D31" s="98" t="s">
        <v>27</v>
      </c>
      <c r="E31" s="100" t="s">
        <v>28</v>
      </c>
      <c r="F31" s="100" t="s">
        <v>42</v>
      </c>
      <c r="G31" s="101" t="s">
        <v>43</v>
      </c>
      <c r="H31" s="26"/>
      <c r="I31" s="26"/>
      <c r="J31" s="26"/>
      <c r="K31" s="27">
        <f t="shared" si="0"/>
        <v>0</v>
      </c>
      <c r="L31" s="28">
        <f t="shared" si="1"/>
        <v>-13355</v>
      </c>
      <c r="M31" s="29"/>
      <c r="N31" s="799"/>
      <c r="O31" s="30">
        <f t="shared" si="12"/>
        <v>0</v>
      </c>
      <c r="P31" s="802"/>
      <c r="Q31" s="31">
        <f t="shared" ref="Q31:Q57" si="13">IF($P$30=0,0,(-($P$30*O31)+K31)-K31)</f>
        <v>0</v>
      </c>
      <c r="R31" s="31"/>
      <c r="S31" s="28">
        <f t="shared" si="4"/>
        <v>0</v>
      </c>
      <c r="T31" s="28">
        <f t="shared" si="5"/>
        <v>0</v>
      </c>
      <c r="U31" s="28">
        <f t="shared" si="6"/>
        <v>0</v>
      </c>
      <c r="V31" s="28">
        <f t="shared" si="7"/>
        <v>0</v>
      </c>
      <c r="W31" s="31">
        <f t="shared" si="11"/>
        <v>21045</v>
      </c>
      <c r="X31" s="32">
        <f t="shared" si="9"/>
        <v>34400</v>
      </c>
      <c r="Y31" s="35"/>
      <c r="Z31" s="34"/>
      <c r="AA31" s="104"/>
      <c r="AB31" s="35"/>
      <c r="AC31" s="35"/>
      <c r="AH31" s="20" t="s">
        <v>232</v>
      </c>
    </row>
    <row r="32" spans="1:47" ht="18" customHeight="1" x14ac:dyDescent="0.25">
      <c r="A32" s="98" t="s">
        <v>25</v>
      </c>
      <c r="B32" s="98" t="s">
        <v>87</v>
      </c>
      <c r="C32" s="99">
        <v>1</v>
      </c>
      <c r="D32" s="98" t="s">
        <v>27</v>
      </c>
      <c r="E32" s="100" t="s">
        <v>28</v>
      </c>
      <c r="F32" s="100" t="s">
        <v>44</v>
      </c>
      <c r="G32" s="101" t="s">
        <v>45</v>
      </c>
      <c r="H32" s="26"/>
      <c r="I32" s="26"/>
      <c r="J32" s="26"/>
      <c r="K32" s="27">
        <f t="shared" si="0"/>
        <v>0</v>
      </c>
      <c r="L32" s="28">
        <f t="shared" si="1"/>
        <v>-13355</v>
      </c>
      <c r="M32" s="29"/>
      <c r="N32" s="799"/>
      <c r="O32" s="30">
        <f t="shared" si="12"/>
        <v>0</v>
      </c>
      <c r="P32" s="802"/>
      <c r="Q32" s="31">
        <f t="shared" si="13"/>
        <v>0</v>
      </c>
      <c r="R32" s="31"/>
      <c r="S32" s="28">
        <f t="shared" si="4"/>
        <v>0</v>
      </c>
      <c r="T32" s="28">
        <f t="shared" si="5"/>
        <v>0</v>
      </c>
      <c r="U32" s="28">
        <f t="shared" si="6"/>
        <v>0</v>
      </c>
      <c r="V32" s="28">
        <f t="shared" si="7"/>
        <v>0</v>
      </c>
      <c r="W32" s="31">
        <f t="shared" si="11"/>
        <v>21045</v>
      </c>
      <c r="X32" s="32">
        <f t="shared" si="9"/>
        <v>34400</v>
      </c>
      <c r="Y32" s="35"/>
      <c r="Z32" s="34"/>
      <c r="AA32" s="105"/>
      <c r="AB32" s="35"/>
      <c r="AC32" s="106" t="s">
        <v>91</v>
      </c>
      <c r="AD32" s="106">
        <v>0</v>
      </c>
      <c r="AG32" s="107"/>
      <c r="AH32" s="19">
        <v>9873021</v>
      </c>
    </row>
    <row r="33" spans="1:35" ht="18" customHeight="1" x14ac:dyDescent="0.25">
      <c r="A33" s="98" t="s">
        <v>25</v>
      </c>
      <c r="B33" s="98" t="s">
        <v>87</v>
      </c>
      <c r="C33" s="99">
        <v>1</v>
      </c>
      <c r="D33" s="98" t="s">
        <v>61</v>
      </c>
      <c r="E33" s="100" t="s">
        <v>28</v>
      </c>
      <c r="F33" s="100" t="s">
        <v>46</v>
      </c>
      <c r="G33" s="101" t="s">
        <v>45</v>
      </c>
      <c r="H33" s="26"/>
      <c r="I33" s="26"/>
      <c r="J33" s="26"/>
      <c r="K33" s="27">
        <f t="shared" si="0"/>
        <v>0</v>
      </c>
      <c r="L33" s="28">
        <f t="shared" si="1"/>
        <v>-13355</v>
      </c>
      <c r="M33" s="29"/>
      <c r="N33" s="799"/>
      <c r="O33" s="30">
        <f t="shared" si="12"/>
        <v>0</v>
      </c>
      <c r="P33" s="802"/>
      <c r="Q33" s="31">
        <f t="shared" si="13"/>
        <v>0</v>
      </c>
      <c r="R33" s="31"/>
      <c r="S33" s="28">
        <f t="shared" si="4"/>
        <v>0</v>
      </c>
      <c r="T33" s="28">
        <f t="shared" si="5"/>
        <v>0</v>
      </c>
      <c r="U33" s="28">
        <f t="shared" si="6"/>
        <v>0</v>
      </c>
      <c r="V33" s="28">
        <f t="shared" si="7"/>
        <v>0</v>
      </c>
      <c r="W33" s="31">
        <f t="shared" si="11"/>
        <v>21045</v>
      </c>
      <c r="X33" s="32">
        <f t="shared" si="9"/>
        <v>34400</v>
      </c>
      <c r="Y33" s="806" t="s">
        <v>8</v>
      </c>
      <c r="Z33" s="108" t="s">
        <v>92</v>
      </c>
      <c r="AA33" s="108" t="s">
        <v>82</v>
      </c>
      <c r="AB33" s="108" t="s">
        <v>9</v>
      </c>
      <c r="AC33" s="109" t="s">
        <v>93</v>
      </c>
      <c r="AD33" s="109" t="s">
        <v>82</v>
      </c>
      <c r="AE33" s="109"/>
      <c r="AF33" s="110"/>
      <c r="AG33" s="111"/>
      <c r="AH33" s="19">
        <v>41665</v>
      </c>
      <c r="AI33" s="51">
        <v>450000</v>
      </c>
    </row>
    <row r="34" spans="1:35" ht="18" customHeight="1" x14ac:dyDescent="0.25">
      <c r="A34" s="98" t="s">
        <v>25</v>
      </c>
      <c r="B34" s="98" t="s">
        <v>87</v>
      </c>
      <c r="C34" s="99">
        <v>2</v>
      </c>
      <c r="D34" s="98" t="s">
        <v>27</v>
      </c>
      <c r="E34" s="100" t="s">
        <v>28</v>
      </c>
      <c r="F34" s="100" t="s">
        <v>49</v>
      </c>
      <c r="G34" s="101" t="s">
        <v>50</v>
      </c>
      <c r="H34" s="26"/>
      <c r="I34" s="26"/>
      <c r="J34" s="26"/>
      <c r="K34" s="27">
        <f t="shared" si="0"/>
        <v>0</v>
      </c>
      <c r="L34" s="28">
        <f t="shared" si="1"/>
        <v>-13355</v>
      </c>
      <c r="M34" s="29"/>
      <c r="N34" s="799"/>
      <c r="O34" s="30">
        <f t="shared" si="12"/>
        <v>0</v>
      </c>
      <c r="P34" s="802"/>
      <c r="Q34" s="31">
        <f t="shared" si="13"/>
        <v>0</v>
      </c>
      <c r="R34" s="31"/>
      <c r="S34" s="28">
        <f t="shared" si="4"/>
        <v>0</v>
      </c>
      <c r="T34" s="28">
        <f t="shared" si="5"/>
        <v>0</v>
      </c>
      <c r="U34" s="28">
        <f t="shared" si="6"/>
        <v>0</v>
      </c>
      <c r="V34" s="28">
        <f t="shared" si="7"/>
        <v>0</v>
      </c>
      <c r="W34" s="31">
        <f t="shared" si="11"/>
        <v>21045</v>
      </c>
      <c r="X34" s="32">
        <f t="shared" si="9"/>
        <v>34400</v>
      </c>
      <c r="Y34" s="806"/>
      <c r="Z34" s="112">
        <v>100000</v>
      </c>
      <c r="AA34" s="113">
        <f>AD5-Z34</f>
        <v>-75000</v>
      </c>
      <c r="AB34" s="113">
        <f>Z34+AA34</f>
        <v>25000</v>
      </c>
      <c r="AC34" s="114">
        <f>+Z34</f>
        <v>100000</v>
      </c>
      <c r="AD34" s="114">
        <f>+AD32-AC34</f>
        <v>-100000</v>
      </c>
      <c r="AE34" s="114">
        <f>+AC34+AD34</f>
        <v>0</v>
      </c>
      <c r="AF34" s="115"/>
      <c r="AG34" s="111"/>
      <c r="AH34" s="511">
        <f>+AH33/AH32</f>
        <v>4.2200862329777279E-3</v>
      </c>
      <c r="AI34" s="509">
        <f>+AI33/AH32</f>
        <v>4.5578754466338113E-2</v>
      </c>
    </row>
    <row r="35" spans="1:35" ht="18" customHeight="1" x14ac:dyDescent="0.25">
      <c r="A35" s="98" t="s">
        <v>25</v>
      </c>
      <c r="B35" s="98" t="s">
        <v>87</v>
      </c>
      <c r="C35" s="99">
        <v>1</v>
      </c>
      <c r="D35" s="98" t="s">
        <v>52</v>
      </c>
      <c r="E35" s="100" t="s">
        <v>53</v>
      </c>
      <c r="F35" s="100" t="s">
        <v>54</v>
      </c>
      <c r="G35" s="101" t="s">
        <v>55</v>
      </c>
      <c r="H35" s="26"/>
      <c r="I35" s="26"/>
      <c r="J35" s="26"/>
      <c r="K35" s="27">
        <f t="shared" si="0"/>
        <v>0</v>
      </c>
      <c r="L35" s="28">
        <f t="shared" si="1"/>
        <v>-13355</v>
      </c>
      <c r="M35" s="29"/>
      <c r="N35" s="799"/>
      <c r="O35" s="30">
        <f t="shared" si="12"/>
        <v>0</v>
      </c>
      <c r="P35" s="802"/>
      <c r="Q35" s="31">
        <f t="shared" si="13"/>
        <v>0</v>
      </c>
      <c r="R35" s="31"/>
      <c r="S35" s="28">
        <f t="shared" si="4"/>
        <v>0</v>
      </c>
      <c r="T35" s="28">
        <f t="shared" si="5"/>
        <v>0</v>
      </c>
      <c r="U35" s="28">
        <f t="shared" si="6"/>
        <v>0</v>
      </c>
      <c r="V35" s="28">
        <f t="shared" si="7"/>
        <v>0</v>
      </c>
      <c r="W35" s="31">
        <f t="shared" si="11"/>
        <v>21045</v>
      </c>
      <c r="X35" s="32">
        <f>W35-L35</f>
        <v>34400</v>
      </c>
      <c r="Y35" s="117" t="s">
        <v>56</v>
      </c>
      <c r="Z35" s="113">
        <f>Z34*43%</f>
        <v>43000</v>
      </c>
      <c r="AA35" s="113">
        <f>AD4-Z35</f>
        <v>-43000</v>
      </c>
      <c r="AB35" s="113">
        <f>Z35+AA35</f>
        <v>0</v>
      </c>
      <c r="AC35" s="113">
        <f>AC34*32.0213%</f>
        <v>32021.299999999996</v>
      </c>
      <c r="AD35" s="113">
        <f>+AD34*43%</f>
        <v>-43000</v>
      </c>
      <c r="AE35" s="114">
        <f>+AC35+AD35</f>
        <v>-10978.700000000004</v>
      </c>
      <c r="AF35" s="118"/>
      <c r="AG35" s="111"/>
      <c r="AH35" s="19"/>
      <c r="AI35" s="119"/>
    </row>
    <row r="36" spans="1:35" ht="18" customHeight="1" x14ac:dyDescent="0.25">
      <c r="A36" s="98" t="s">
        <v>25</v>
      </c>
      <c r="B36" s="98" t="s">
        <v>87</v>
      </c>
      <c r="C36" s="99">
        <v>1</v>
      </c>
      <c r="D36" s="98" t="s">
        <v>52</v>
      </c>
      <c r="E36" s="100" t="s">
        <v>53</v>
      </c>
      <c r="F36" s="100" t="s">
        <v>58</v>
      </c>
      <c r="G36" s="101" t="s">
        <v>55</v>
      </c>
      <c r="H36" s="26"/>
      <c r="I36" s="26"/>
      <c r="J36" s="26"/>
      <c r="K36" s="27">
        <f t="shared" si="0"/>
        <v>0</v>
      </c>
      <c r="L36" s="28">
        <f t="shared" si="1"/>
        <v>-13355</v>
      </c>
      <c r="M36" s="29"/>
      <c r="N36" s="799"/>
      <c r="O36" s="30">
        <f t="shared" si="12"/>
        <v>0</v>
      </c>
      <c r="P36" s="802"/>
      <c r="Q36" s="31">
        <f t="shared" si="13"/>
        <v>0</v>
      </c>
      <c r="R36" s="31"/>
      <c r="S36" s="28">
        <f t="shared" si="4"/>
        <v>0</v>
      </c>
      <c r="T36" s="28">
        <f t="shared" si="5"/>
        <v>0</v>
      </c>
      <c r="U36" s="28">
        <f t="shared" si="6"/>
        <v>0</v>
      </c>
      <c r="V36" s="28">
        <f t="shared" si="7"/>
        <v>0</v>
      </c>
      <c r="W36" s="31">
        <f t="shared" si="11"/>
        <v>21045</v>
      </c>
      <c r="X36" s="32">
        <f t="shared" si="9"/>
        <v>34400</v>
      </c>
      <c r="Y36" s="117" t="s">
        <v>60</v>
      </c>
      <c r="Z36" s="113">
        <f>Z34*57%</f>
        <v>56999.999999999993</v>
      </c>
      <c r="AA36" s="113">
        <f>AD3-Z36</f>
        <v>-31999.999999999993</v>
      </c>
      <c r="AB36" s="113">
        <f>Z36+AA36</f>
        <v>25000</v>
      </c>
      <c r="AC36" s="113">
        <f>AC34*67.9787%</f>
        <v>67978.7</v>
      </c>
      <c r="AD36" s="113">
        <f>+AD34*57%</f>
        <v>-56999.999999999993</v>
      </c>
      <c r="AE36" s="114">
        <f>+AC36+AD36</f>
        <v>10978.700000000004</v>
      </c>
      <c r="AF36" s="118"/>
      <c r="AG36" s="120"/>
      <c r="AH36" s="121" t="s">
        <v>7</v>
      </c>
    </row>
    <row r="37" spans="1:35" ht="18" customHeight="1" x14ac:dyDescent="0.25">
      <c r="A37" s="98" t="s">
        <v>25</v>
      </c>
      <c r="B37" s="98" t="s">
        <v>87</v>
      </c>
      <c r="C37" s="99">
        <v>1</v>
      </c>
      <c r="D37" s="98" t="s">
        <v>61</v>
      </c>
      <c r="E37" s="100" t="s">
        <v>53</v>
      </c>
      <c r="F37" s="100" t="s">
        <v>62</v>
      </c>
      <c r="G37" s="101" t="s">
        <v>63</v>
      </c>
      <c r="H37" s="26"/>
      <c r="I37" s="26"/>
      <c r="J37" s="26"/>
      <c r="K37" s="27">
        <f t="shared" si="0"/>
        <v>0</v>
      </c>
      <c r="L37" s="28">
        <f t="shared" si="1"/>
        <v>-13355</v>
      </c>
      <c r="M37" s="29"/>
      <c r="N37" s="799"/>
      <c r="O37" s="30">
        <f t="shared" si="12"/>
        <v>0</v>
      </c>
      <c r="P37" s="802"/>
      <c r="Q37" s="31">
        <f t="shared" si="13"/>
        <v>0</v>
      </c>
      <c r="R37" s="31"/>
      <c r="S37" s="28">
        <f t="shared" si="4"/>
        <v>0</v>
      </c>
      <c r="T37" s="28">
        <f t="shared" si="5"/>
        <v>0</v>
      </c>
      <c r="U37" s="28">
        <f t="shared" si="6"/>
        <v>0</v>
      </c>
      <c r="V37" s="28">
        <f t="shared" si="7"/>
        <v>0</v>
      </c>
      <c r="W37" s="31">
        <f t="shared" si="11"/>
        <v>21045</v>
      </c>
      <c r="X37" s="32">
        <f t="shared" si="9"/>
        <v>34400</v>
      </c>
      <c r="Y37" s="117" t="s">
        <v>94</v>
      </c>
      <c r="Z37" s="113">
        <f>+Z35+Z36</f>
        <v>100000</v>
      </c>
      <c r="AA37" s="113">
        <f>SUM(AA35:AA36)</f>
        <v>-75000</v>
      </c>
      <c r="AB37" s="113">
        <f>Z37+AA37</f>
        <v>25000</v>
      </c>
      <c r="AC37" s="42">
        <f>+AC35+AC36</f>
        <v>100000</v>
      </c>
      <c r="AD37" s="42">
        <f>+AD35+AD36</f>
        <v>-100000</v>
      </c>
      <c r="AE37" s="122">
        <f>+AE35+AE36</f>
        <v>0</v>
      </c>
      <c r="AF37" s="53"/>
      <c r="AG37" s="111"/>
      <c r="AH37" s="512">
        <v>3050795</v>
      </c>
    </row>
    <row r="38" spans="1:35" ht="18" customHeight="1" x14ac:dyDescent="0.25">
      <c r="A38" s="98" t="s">
        <v>25</v>
      </c>
      <c r="B38" s="98" t="s">
        <v>87</v>
      </c>
      <c r="C38" s="99">
        <v>1</v>
      </c>
      <c r="D38" s="98" t="s">
        <v>61</v>
      </c>
      <c r="E38" s="100" t="s">
        <v>53</v>
      </c>
      <c r="F38" s="100" t="s">
        <v>36</v>
      </c>
      <c r="G38" s="101" t="s">
        <v>37</v>
      </c>
      <c r="H38" s="518">
        <v>0</v>
      </c>
      <c r="I38" s="26"/>
      <c r="J38" s="26"/>
      <c r="K38" s="27">
        <f t="shared" si="0"/>
        <v>0</v>
      </c>
      <c r="L38" s="28">
        <f>+L37-K38</f>
        <v>-13355</v>
      </c>
      <c r="M38" s="29"/>
      <c r="N38" s="799"/>
      <c r="O38" s="30">
        <f t="shared" si="12"/>
        <v>0</v>
      </c>
      <c r="P38" s="802"/>
      <c r="Q38" s="31">
        <f t="shared" si="13"/>
        <v>0</v>
      </c>
      <c r="R38" s="31"/>
      <c r="S38" s="28">
        <f t="shared" si="4"/>
        <v>0</v>
      </c>
      <c r="T38" s="28">
        <f t="shared" si="5"/>
        <v>0</v>
      </c>
      <c r="U38" s="28">
        <f t="shared" si="6"/>
        <v>0</v>
      </c>
      <c r="V38" s="28">
        <f t="shared" si="7"/>
        <v>0</v>
      </c>
      <c r="W38" s="31">
        <f t="shared" si="11"/>
        <v>21045</v>
      </c>
      <c r="X38" s="32">
        <f t="shared" si="9"/>
        <v>34400</v>
      </c>
      <c r="Y38" s="35"/>
      <c r="Z38" s="34"/>
      <c r="AA38" s="57"/>
      <c r="AB38" s="35"/>
      <c r="AC38" s="123"/>
      <c r="AD38" s="35"/>
      <c r="AG38" s="111"/>
      <c r="AH38" s="510">
        <v>48089</v>
      </c>
    </row>
    <row r="39" spans="1:35" ht="18" customHeight="1" x14ac:dyDescent="0.25">
      <c r="A39" s="98" t="s">
        <v>25</v>
      </c>
      <c r="B39" s="98" t="s">
        <v>87</v>
      </c>
      <c r="C39" s="99">
        <v>1</v>
      </c>
      <c r="D39" s="98" t="s">
        <v>61</v>
      </c>
      <c r="E39" s="100" t="s">
        <v>53</v>
      </c>
      <c r="F39" s="100" t="s">
        <v>66</v>
      </c>
      <c r="G39" s="101" t="s">
        <v>63</v>
      </c>
      <c r="H39" s="26"/>
      <c r="I39" s="26"/>
      <c r="J39" s="26"/>
      <c r="K39" s="27">
        <f t="shared" si="0"/>
        <v>0</v>
      </c>
      <c r="L39" s="28">
        <f>+L38-K39</f>
        <v>-13355</v>
      </c>
      <c r="M39" s="29"/>
      <c r="N39" s="799"/>
      <c r="O39" s="30">
        <f t="shared" si="12"/>
        <v>0</v>
      </c>
      <c r="P39" s="802"/>
      <c r="Q39" s="31">
        <f t="shared" si="13"/>
        <v>0</v>
      </c>
      <c r="R39" s="31"/>
      <c r="S39" s="28">
        <f t="shared" si="4"/>
        <v>0</v>
      </c>
      <c r="T39" s="28">
        <f t="shared" si="5"/>
        <v>0</v>
      </c>
      <c r="U39" s="28">
        <f t="shared" si="6"/>
        <v>0</v>
      </c>
      <c r="V39" s="28">
        <f t="shared" si="7"/>
        <v>0</v>
      </c>
      <c r="W39" s="31">
        <f t="shared" si="11"/>
        <v>21045</v>
      </c>
      <c r="X39" s="32">
        <f t="shared" si="9"/>
        <v>34400</v>
      </c>
      <c r="Y39" s="35"/>
      <c r="Z39" s="34"/>
      <c r="AA39" s="35"/>
      <c r="AB39" s="35"/>
      <c r="AC39" s="123"/>
      <c r="AD39" s="57"/>
      <c r="AG39" s="124"/>
      <c r="AH39" s="509">
        <f>+AH38/AH37</f>
        <v>1.5762776587741882E-2</v>
      </c>
    </row>
    <row r="40" spans="1:35" ht="18" customHeight="1" x14ac:dyDescent="0.25">
      <c r="A40" s="98" t="s">
        <v>25</v>
      </c>
      <c r="B40" s="98" t="s">
        <v>87</v>
      </c>
      <c r="C40" s="99">
        <v>2</v>
      </c>
      <c r="D40" s="98" t="s">
        <v>61</v>
      </c>
      <c r="E40" s="100" t="s">
        <v>53</v>
      </c>
      <c r="F40" s="100" t="s">
        <v>69</v>
      </c>
      <c r="G40" s="101" t="s">
        <v>55</v>
      </c>
      <c r="H40" s="26"/>
      <c r="I40" s="26"/>
      <c r="J40" s="26"/>
      <c r="K40" s="27">
        <f t="shared" si="0"/>
        <v>0</v>
      </c>
      <c r="L40" s="28">
        <f t="shared" si="1"/>
        <v>-13355</v>
      </c>
      <c r="M40" s="29"/>
      <c r="N40" s="799"/>
      <c r="O40" s="30"/>
      <c r="P40" s="802"/>
      <c r="Q40" s="31"/>
      <c r="R40" s="31"/>
      <c r="S40" s="28">
        <f t="shared" si="4"/>
        <v>0</v>
      </c>
      <c r="T40" s="28">
        <f t="shared" si="5"/>
        <v>0</v>
      </c>
      <c r="U40" s="28">
        <f t="shared" si="6"/>
        <v>0</v>
      </c>
      <c r="V40" s="28">
        <f t="shared" si="7"/>
        <v>0</v>
      </c>
      <c r="W40" s="31">
        <f t="shared" si="11"/>
        <v>21045</v>
      </c>
      <c r="X40" s="32"/>
      <c r="Y40" s="35"/>
      <c r="Z40" s="34"/>
      <c r="AA40" s="35"/>
      <c r="AB40" s="35"/>
      <c r="AC40" s="123"/>
      <c r="AD40" s="57"/>
      <c r="AG40" s="124"/>
      <c r="AH40" s="53"/>
    </row>
    <row r="41" spans="1:35" ht="18" customHeight="1" x14ac:dyDescent="0.25">
      <c r="A41" s="98" t="s">
        <v>25</v>
      </c>
      <c r="B41" s="98" t="s">
        <v>87</v>
      </c>
      <c r="C41" s="99">
        <v>3</v>
      </c>
      <c r="D41" s="98" t="s">
        <v>61</v>
      </c>
      <c r="E41" s="100" t="s">
        <v>53</v>
      </c>
      <c r="F41" s="100" t="s">
        <v>72</v>
      </c>
      <c r="G41" s="101" t="s">
        <v>63</v>
      </c>
      <c r="H41" s="26"/>
      <c r="I41" s="26"/>
      <c r="J41" s="26"/>
      <c r="K41" s="27">
        <f t="shared" si="0"/>
        <v>0</v>
      </c>
      <c r="L41" s="28">
        <f t="shared" si="1"/>
        <v>-13355</v>
      </c>
      <c r="M41" s="29"/>
      <c r="N41" s="799"/>
      <c r="O41" s="30">
        <f t="shared" si="12"/>
        <v>0</v>
      </c>
      <c r="P41" s="802"/>
      <c r="Q41" s="31">
        <f t="shared" si="13"/>
        <v>0</v>
      </c>
      <c r="R41" s="31"/>
      <c r="S41" s="28">
        <f t="shared" si="4"/>
        <v>0</v>
      </c>
      <c r="T41" s="28">
        <f t="shared" si="5"/>
        <v>0</v>
      </c>
      <c r="U41" s="28">
        <f t="shared" si="6"/>
        <v>0</v>
      </c>
      <c r="V41" s="28">
        <f t="shared" si="7"/>
        <v>0</v>
      </c>
      <c r="W41" s="31">
        <f t="shared" si="11"/>
        <v>21045</v>
      </c>
      <c r="X41" s="32">
        <f t="shared" si="9"/>
        <v>34400</v>
      </c>
      <c r="Y41" s="125" t="s">
        <v>95</v>
      </c>
      <c r="Z41" s="126" t="s">
        <v>35</v>
      </c>
      <c r="AA41" s="127" t="s">
        <v>17</v>
      </c>
      <c r="AB41" s="127" t="s">
        <v>7</v>
      </c>
      <c r="AC41" s="127" t="s">
        <v>9</v>
      </c>
      <c r="AD41" s="57"/>
      <c r="AE41" s="19">
        <v>63286277</v>
      </c>
      <c r="AG41" s="128"/>
      <c r="AH41" s="507"/>
      <c r="AI41" s="507"/>
    </row>
    <row r="42" spans="1:35" ht="18" customHeight="1" x14ac:dyDescent="0.25">
      <c r="A42" s="98" t="s">
        <v>25</v>
      </c>
      <c r="B42" s="98" t="s">
        <v>87</v>
      </c>
      <c r="C42" s="99">
        <v>3</v>
      </c>
      <c r="D42" s="98" t="s">
        <v>74</v>
      </c>
      <c r="E42" s="100" t="s">
        <v>53</v>
      </c>
      <c r="F42" s="100" t="s">
        <v>75</v>
      </c>
      <c r="G42" s="101" t="s">
        <v>76</v>
      </c>
      <c r="H42" s="26">
        <v>0</v>
      </c>
      <c r="I42" s="26"/>
      <c r="J42" s="26"/>
      <c r="K42" s="27">
        <f t="shared" si="0"/>
        <v>0</v>
      </c>
      <c r="L42" s="28">
        <f t="shared" si="1"/>
        <v>-13355</v>
      </c>
      <c r="M42" s="29"/>
      <c r="N42" s="799"/>
      <c r="O42" s="30">
        <f t="shared" si="12"/>
        <v>0</v>
      </c>
      <c r="P42" s="802"/>
      <c r="Q42" s="31">
        <f t="shared" si="13"/>
        <v>0</v>
      </c>
      <c r="R42" s="31"/>
      <c r="S42" s="28">
        <f t="shared" si="4"/>
        <v>0</v>
      </c>
      <c r="T42" s="28">
        <f t="shared" si="5"/>
        <v>0</v>
      </c>
      <c r="U42" s="28">
        <f t="shared" si="6"/>
        <v>0</v>
      </c>
      <c r="V42" s="28">
        <f t="shared" si="7"/>
        <v>0</v>
      </c>
      <c r="W42" s="31">
        <f t="shared" si="11"/>
        <v>21045</v>
      </c>
      <c r="X42" s="32">
        <f t="shared" si="9"/>
        <v>34400</v>
      </c>
      <c r="Y42" s="74" t="s">
        <v>96</v>
      </c>
      <c r="Z42" s="75">
        <v>35500</v>
      </c>
      <c r="AA42" s="129">
        <f>+H7+H8+H17+H18+H19+H22+H32+H33+H43+H44+H45+H53</f>
        <v>26846</v>
      </c>
      <c r="AB42" s="129">
        <f>+I7+I8+I17+I18+I19+I22+I32+I33+I43+I44+I45+I53</f>
        <v>9154</v>
      </c>
      <c r="AC42" s="130">
        <f>+AA42+AB42</f>
        <v>36000</v>
      </c>
      <c r="AD42" s="57"/>
      <c r="AE42" s="19">
        <v>15000000</v>
      </c>
      <c r="AG42" s="128"/>
      <c r="AH42" s="19"/>
      <c r="AI42" s="19"/>
    </row>
    <row r="43" spans="1:35" ht="18" customHeight="1" x14ac:dyDescent="0.25">
      <c r="A43" s="98" t="s">
        <v>25</v>
      </c>
      <c r="B43" s="98" t="s">
        <v>87</v>
      </c>
      <c r="C43" s="99">
        <v>1</v>
      </c>
      <c r="D43" s="98" t="s">
        <v>74</v>
      </c>
      <c r="E43" s="100" t="s">
        <v>53</v>
      </c>
      <c r="F43" s="100" t="s">
        <v>65</v>
      </c>
      <c r="G43" s="101" t="s">
        <v>45</v>
      </c>
      <c r="H43" s="26"/>
      <c r="I43" s="26"/>
      <c r="J43" s="26"/>
      <c r="K43" s="27">
        <f t="shared" si="0"/>
        <v>0</v>
      </c>
      <c r="L43" s="28">
        <f t="shared" si="1"/>
        <v>-13355</v>
      </c>
      <c r="M43" s="29"/>
      <c r="N43" s="799"/>
      <c r="O43" s="30">
        <f t="shared" si="12"/>
        <v>0</v>
      </c>
      <c r="P43" s="802"/>
      <c r="Q43" s="31">
        <f t="shared" si="13"/>
        <v>0</v>
      </c>
      <c r="R43" s="31"/>
      <c r="S43" s="28">
        <f t="shared" si="4"/>
        <v>0</v>
      </c>
      <c r="T43" s="28">
        <f t="shared" si="5"/>
        <v>0</v>
      </c>
      <c r="U43" s="28">
        <f t="shared" si="6"/>
        <v>0</v>
      </c>
      <c r="V43" s="28">
        <f t="shared" si="7"/>
        <v>0</v>
      </c>
      <c r="W43" s="31">
        <f t="shared" si="11"/>
        <v>21045</v>
      </c>
      <c r="X43" s="32">
        <f t="shared" si="9"/>
        <v>34400</v>
      </c>
      <c r="Y43" s="131" t="s">
        <v>97</v>
      </c>
      <c r="Z43" s="132">
        <v>50000</v>
      </c>
      <c r="AA43" s="133">
        <f>+H10+H11+H25+H35+H36+H47</f>
        <v>45420</v>
      </c>
      <c r="AB43" s="133">
        <f>+I10+I11+I25+I35+I36+I47</f>
        <v>4580</v>
      </c>
      <c r="AC43" s="133">
        <f>+AA43+AB43</f>
        <v>50000</v>
      </c>
      <c r="AD43" s="57"/>
      <c r="AE43" s="19">
        <v>188000000</v>
      </c>
      <c r="AG43" s="128"/>
      <c r="AH43" s="53"/>
      <c r="AI43" s="53"/>
    </row>
    <row r="44" spans="1:35" ht="18" customHeight="1" x14ac:dyDescent="0.25">
      <c r="A44" s="98" t="s">
        <v>25</v>
      </c>
      <c r="B44" s="98" t="s">
        <v>87</v>
      </c>
      <c r="C44" s="99">
        <v>1</v>
      </c>
      <c r="D44" s="98" t="s">
        <v>74</v>
      </c>
      <c r="E44" s="100" t="s">
        <v>53</v>
      </c>
      <c r="F44" s="100" t="s">
        <v>68</v>
      </c>
      <c r="G44" s="101" t="s">
        <v>45</v>
      </c>
      <c r="H44" s="26"/>
      <c r="I44" s="26"/>
      <c r="J44" s="26"/>
      <c r="K44" s="27">
        <f t="shared" si="0"/>
        <v>0</v>
      </c>
      <c r="L44" s="28">
        <f t="shared" si="1"/>
        <v>-13355</v>
      </c>
      <c r="M44" s="29"/>
      <c r="N44" s="799"/>
      <c r="O44" s="30">
        <f t="shared" si="12"/>
        <v>0</v>
      </c>
      <c r="P44" s="802"/>
      <c r="Q44" s="31">
        <f t="shared" si="13"/>
        <v>0</v>
      </c>
      <c r="R44" s="31"/>
      <c r="S44" s="28">
        <f t="shared" si="4"/>
        <v>0</v>
      </c>
      <c r="T44" s="28">
        <f t="shared" si="5"/>
        <v>0</v>
      </c>
      <c r="U44" s="28">
        <f t="shared" si="6"/>
        <v>0</v>
      </c>
      <c r="V44" s="28">
        <f t="shared" si="7"/>
        <v>0</v>
      </c>
      <c r="W44" s="31">
        <f t="shared" si="11"/>
        <v>21045</v>
      </c>
      <c r="X44" s="32">
        <f t="shared" si="9"/>
        <v>34400</v>
      </c>
      <c r="Y44" s="134" t="s">
        <v>43</v>
      </c>
      <c r="Z44" s="135">
        <v>22000</v>
      </c>
      <c r="AA44" s="129">
        <f>+H6+H24</f>
        <v>12000</v>
      </c>
      <c r="AB44" s="129">
        <f>+I6+I24</f>
        <v>0</v>
      </c>
      <c r="AC44" s="130">
        <f>+AA44+AB44</f>
        <v>12000</v>
      </c>
      <c r="AD44" s="57"/>
      <c r="AE44" s="19">
        <f>SUM(AE41:AE43)</f>
        <v>266286277</v>
      </c>
      <c r="AG44" s="128"/>
      <c r="AH44" s="50"/>
    </row>
    <row r="45" spans="1:35" ht="18" customHeight="1" x14ac:dyDescent="0.25">
      <c r="A45" s="98" t="s">
        <v>25</v>
      </c>
      <c r="B45" s="98" t="s">
        <v>87</v>
      </c>
      <c r="C45" s="99">
        <v>1</v>
      </c>
      <c r="D45" s="98" t="s">
        <v>74</v>
      </c>
      <c r="E45" s="100" t="s">
        <v>53</v>
      </c>
      <c r="F45" s="100" t="s">
        <v>71</v>
      </c>
      <c r="G45" s="101" t="s">
        <v>45</v>
      </c>
      <c r="H45" s="26"/>
      <c r="I45" s="26"/>
      <c r="J45" s="26"/>
      <c r="K45" s="27">
        <f t="shared" si="0"/>
        <v>0</v>
      </c>
      <c r="L45" s="28">
        <f t="shared" si="1"/>
        <v>-13355</v>
      </c>
      <c r="M45" s="29"/>
      <c r="N45" s="799"/>
      <c r="O45" s="30">
        <f t="shared" si="12"/>
        <v>0</v>
      </c>
      <c r="P45" s="802"/>
      <c r="Q45" s="31">
        <f t="shared" si="13"/>
        <v>0</v>
      </c>
      <c r="R45" s="31"/>
      <c r="S45" s="28">
        <f t="shared" si="4"/>
        <v>0</v>
      </c>
      <c r="T45" s="28">
        <f t="shared" si="5"/>
        <v>0</v>
      </c>
      <c r="U45" s="28">
        <f t="shared" si="6"/>
        <v>0</v>
      </c>
      <c r="V45" s="28">
        <f t="shared" si="7"/>
        <v>0</v>
      </c>
      <c r="W45" s="31">
        <f t="shared" si="11"/>
        <v>21045</v>
      </c>
      <c r="X45" s="32">
        <f t="shared" si="9"/>
        <v>34400</v>
      </c>
      <c r="Y45" s="131" t="s">
        <v>98</v>
      </c>
      <c r="Z45" s="132">
        <v>9600</v>
      </c>
      <c r="AA45" s="133">
        <f>+H12+H13+H37+H38</f>
        <v>0</v>
      </c>
      <c r="AB45" s="133">
        <f>+I12+I13+I37+I38</f>
        <v>9600</v>
      </c>
      <c r="AC45" s="133">
        <f>+AA45+AB45</f>
        <v>9600</v>
      </c>
      <c r="AD45" s="57"/>
      <c r="AE45" s="19">
        <v>440000000</v>
      </c>
    </row>
    <row r="46" spans="1:35" ht="18" customHeight="1" x14ac:dyDescent="0.25">
      <c r="A46" s="98" t="s">
        <v>25</v>
      </c>
      <c r="B46" s="98" t="s">
        <v>87</v>
      </c>
      <c r="C46" s="99">
        <v>2</v>
      </c>
      <c r="D46" s="98" t="s">
        <v>74</v>
      </c>
      <c r="E46" s="100" t="s">
        <v>53</v>
      </c>
      <c r="F46" s="100" t="s">
        <v>51</v>
      </c>
      <c r="G46" s="101" t="s">
        <v>43</v>
      </c>
      <c r="H46" s="518">
        <v>10000</v>
      </c>
      <c r="I46" s="26"/>
      <c r="J46" s="26"/>
      <c r="K46" s="27">
        <f t="shared" si="0"/>
        <v>10000</v>
      </c>
      <c r="L46" s="28">
        <f>+L45-K46</f>
        <v>-23355</v>
      </c>
      <c r="M46" s="29"/>
      <c r="N46" s="799"/>
      <c r="O46" s="30">
        <f t="shared" si="12"/>
        <v>1</v>
      </c>
      <c r="P46" s="802"/>
      <c r="Q46" s="31">
        <f t="shared" si="13"/>
        <v>0</v>
      </c>
      <c r="R46" s="31">
        <v>0</v>
      </c>
      <c r="S46" s="28">
        <f t="shared" si="4"/>
        <v>10000</v>
      </c>
      <c r="T46" s="28">
        <f t="shared" si="5"/>
        <v>0</v>
      </c>
      <c r="U46" s="28">
        <f t="shared" si="6"/>
        <v>0</v>
      </c>
      <c r="V46" s="28">
        <f t="shared" si="7"/>
        <v>10000</v>
      </c>
      <c r="W46" s="31">
        <f t="shared" si="11"/>
        <v>11045</v>
      </c>
      <c r="X46" s="32">
        <f t="shared" si="9"/>
        <v>34400</v>
      </c>
      <c r="Y46" s="35"/>
      <c r="Z46" s="34"/>
      <c r="AA46" s="35"/>
      <c r="AB46" s="35"/>
      <c r="AC46" s="35"/>
      <c r="AD46" s="57"/>
      <c r="AE46" s="19">
        <f>+AE45-AE44</f>
        <v>173713723</v>
      </c>
      <c r="AF46" s="20">
        <f>31000*14.5/24</f>
        <v>18729.166666666668</v>
      </c>
    </row>
    <row r="47" spans="1:35" ht="18" customHeight="1" x14ac:dyDescent="0.25">
      <c r="A47" s="98" t="s">
        <v>25</v>
      </c>
      <c r="B47" s="98" t="s">
        <v>87</v>
      </c>
      <c r="C47" s="99">
        <v>3</v>
      </c>
      <c r="D47" s="98" t="s">
        <v>74</v>
      </c>
      <c r="E47" s="100" t="s">
        <v>53</v>
      </c>
      <c r="F47" s="100" t="s">
        <v>81</v>
      </c>
      <c r="G47" s="101" t="s">
        <v>55</v>
      </c>
      <c r="H47" s="26"/>
      <c r="I47" s="26"/>
      <c r="J47" s="26"/>
      <c r="K47" s="27">
        <f t="shared" si="0"/>
        <v>0</v>
      </c>
      <c r="L47" s="28">
        <f t="shared" si="1"/>
        <v>-23355</v>
      </c>
      <c r="M47" s="29"/>
      <c r="N47" s="799"/>
      <c r="O47" s="30">
        <f t="shared" si="12"/>
        <v>0</v>
      </c>
      <c r="P47" s="802"/>
      <c r="Q47" s="31">
        <f t="shared" si="13"/>
        <v>0</v>
      </c>
      <c r="R47" s="31"/>
      <c r="S47" s="28">
        <f t="shared" si="4"/>
        <v>0</v>
      </c>
      <c r="T47" s="28">
        <f t="shared" si="5"/>
        <v>0</v>
      </c>
      <c r="U47" s="28">
        <f t="shared" si="6"/>
        <v>0</v>
      </c>
      <c r="V47" s="28">
        <f t="shared" si="7"/>
        <v>0</v>
      </c>
      <c r="W47" s="31">
        <f t="shared" si="11"/>
        <v>11045</v>
      </c>
      <c r="X47" s="32">
        <f t="shared" si="9"/>
        <v>34400</v>
      </c>
      <c r="Y47" s="57">
        <v>20000</v>
      </c>
      <c r="Z47" s="89">
        <v>4586</v>
      </c>
      <c r="AA47" s="35"/>
      <c r="AB47" s="57">
        <f>57000-AA60</f>
        <v>32000</v>
      </c>
      <c r="AC47" s="35"/>
      <c r="AD47" s="57"/>
    </row>
    <row r="48" spans="1:35" ht="18" customHeight="1" x14ac:dyDescent="0.25">
      <c r="A48" s="98" t="s">
        <v>25</v>
      </c>
      <c r="B48" s="98" t="s">
        <v>87</v>
      </c>
      <c r="C48" s="99">
        <v>3</v>
      </c>
      <c r="D48" s="98" t="s">
        <v>74</v>
      </c>
      <c r="E48" s="100" t="s">
        <v>53</v>
      </c>
      <c r="F48" s="100" t="s">
        <v>36</v>
      </c>
      <c r="G48" s="101" t="s">
        <v>244</v>
      </c>
      <c r="H48" s="26">
        <v>0</v>
      </c>
      <c r="I48" s="26">
        <v>0</v>
      </c>
      <c r="J48" s="26"/>
      <c r="K48" s="27">
        <f t="shared" si="0"/>
        <v>0</v>
      </c>
      <c r="L48" s="28">
        <f t="shared" si="1"/>
        <v>-23355</v>
      </c>
      <c r="M48" s="136"/>
      <c r="N48" s="799"/>
      <c r="O48" s="137"/>
      <c r="P48" s="802"/>
      <c r="Q48" s="31">
        <f t="shared" si="13"/>
        <v>0</v>
      </c>
      <c r="R48" s="138"/>
      <c r="S48" s="28">
        <f t="shared" si="4"/>
        <v>0</v>
      </c>
      <c r="T48" s="28">
        <f t="shared" si="5"/>
        <v>0</v>
      </c>
      <c r="U48" s="28">
        <f t="shared" si="6"/>
        <v>0</v>
      </c>
      <c r="V48" s="28">
        <f t="shared" si="7"/>
        <v>0</v>
      </c>
      <c r="W48" s="31">
        <f t="shared" si="11"/>
        <v>11045</v>
      </c>
      <c r="X48" s="32"/>
      <c r="Y48" s="65">
        <f>15000/Y47</f>
        <v>0.75</v>
      </c>
      <c r="Z48" s="34">
        <f>Z47*Y48</f>
        <v>3439.5</v>
      </c>
      <c r="AA48" s="35"/>
      <c r="AB48" s="35"/>
      <c r="AC48" s="35"/>
      <c r="AD48" s="57"/>
    </row>
    <row r="49" spans="1:45" ht="18.75" customHeight="1" thickBot="1" x14ac:dyDescent="0.3">
      <c r="A49" s="139" t="s">
        <v>25</v>
      </c>
      <c r="B49" s="139" t="s">
        <v>87</v>
      </c>
      <c r="C49" s="140">
        <v>5</v>
      </c>
      <c r="D49" s="139" t="s">
        <v>85</v>
      </c>
      <c r="E49" s="141" t="s">
        <v>85</v>
      </c>
      <c r="F49" s="141" t="s">
        <v>86</v>
      </c>
      <c r="G49" s="142" t="s">
        <v>8</v>
      </c>
      <c r="H49" s="143"/>
      <c r="I49" s="143"/>
      <c r="J49" s="143"/>
      <c r="K49" s="442">
        <f t="shared" si="0"/>
        <v>0</v>
      </c>
      <c r="L49" s="28">
        <f t="shared" si="1"/>
        <v>-23355</v>
      </c>
      <c r="M49" s="86"/>
      <c r="N49" s="800"/>
      <c r="O49" s="87">
        <f t="shared" si="12"/>
        <v>0</v>
      </c>
      <c r="P49" s="803"/>
      <c r="Q49" s="144">
        <f t="shared" si="13"/>
        <v>0</v>
      </c>
      <c r="R49" s="144"/>
      <c r="S49" s="423">
        <f t="shared" si="4"/>
        <v>0</v>
      </c>
      <c r="T49" s="423">
        <f t="shared" si="5"/>
        <v>0</v>
      </c>
      <c r="U49" s="423">
        <f t="shared" si="6"/>
        <v>0</v>
      </c>
      <c r="V49" s="423">
        <f t="shared" si="7"/>
        <v>0</v>
      </c>
      <c r="W49" s="31">
        <f t="shared" si="11"/>
        <v>11045</v>
      </c>
      <c r="X49" s="32">
        <f t="shared" si="9"/>
        <v>34400</v>
      </c>
      <c r="Y49" s="508">
        <f>5000/Y47</f>
        <v>0.25</v>
      </c>
      <c r="Z49" s="65">
        <f>Z47*Y49</f>
        <v>1146.5</v>
      </c>
      <c r="AA49" s="145"/>
      <c r="AB49" s="146" t="s">
        <v>99</v>
      </c>
      <c r="AC49" s="147"/>
      <c r="AD49" s="57"/>
    </row>
    <row r="50" spans="1:45" ht="18" customHeight="1" x14ac:dyDescent="0.25">
      <c r="A50" s="312" t="s">
        <v>100</v>
      </c>
      <c r="B50" s="312" t="s">
        <v>26</v>
      </c>
      <c r="C50" s="313">
        <v>3</v>
      </c>
      <c r="D50" s="312" t="s">
        <v>61</v>
      </c>
      <c r="E50" s="314" t="s">
        <v>53</v>
      </c>
      <c r="F50" s="314" t="s">
        <v>105</v>
      </c>
      <c r="G50" s="315" t="s">
        <v>106</v>
      </c>
      <c r="H50" s="26">
        <v>0</v>
      </c>
      <c r="I50" s="97"/>
      <c r="J50" s="97"/>
      <c r="K50" s="443">
        <f t="shared" si="0"/>
        <v>0</v>
      </c>
      <c r="L50" s="28">
        <f>+L49-K50</f>
        <v>-23355</v>
      </c>
      <c r="M50" s="95"/>
      <c r="N50" s="804">
        <f>SUM(K50:K55)</f>
        <v>32000</v>
      </c>
      <c r="O50" s="96">
        <f t="shared" si="12"/>
        <v>0</v>
      </c>
      <c r="P50" s="805"/>
      <c r="Q50" s="138">
        <f t="shared" si="13"/>
        <v>0</v>
      </c>
      <c r="R50" s="157"/>
      <c r="S50" s="422">
        <f t="shared" si="4"/>
        <v>0</v>
      </c>
      <c r="T50" s="422">
        <f t="shared" si="5"/>
        <v>0</v>
      </c>
      <c r="U50" s="422">
        <f t="shared" si="6"/>
        <v>0</v>
      </c>
      <c r="V50" s="422">
        <f t="shared" si="7"/>
        <v>0</v>
      </c>
      <c r="W50" s="31">
        <f t="shared" si="11"/>
        <v>11045</v>
      </c>
      <c r="X50" s="32">
        <f t="shared" si="9"/>
        <v>34400</v>
      </c>
      <c r="Y50" s="149" t="s">
        <v>107</v>
      </c>
      <c r="Z50" s="150">
        <v>370000</v>
      </c>
      <c r="AA50" s="145"/>
      <c r="AB50" s="151">
        <f>+AC59-Z50</f>
        <v>-370000</v>
      </c>
      <c r="AC50" s="152"/>
      <c r="AD50" s="152"/>
      <c r="AE50" s="153"/>
    </row>
    <row r="51" spans="1:45" ht="18" customHeight="1" x14ac:dyDescent="0.25">
      <c r="A51" s="312" t="s">
        <v>100</v>
      </c>
      <c r="B51" s="312" t="s">
        <v>26</v>
      </c>
      <c r="C51" s="313">
        <v>3</v>
      </c>
      <c r="D51" s="312" t="s">
        <v>61</v>
      </c>
      <c r="E51" s="314" t="s">
        <v>53</v>
      </c>
      <c r="F51" s="314" t="s">
        <v>108</v>
      </c>
      <c r="G51" s="315" t="s">
        <v>170</v>
      </c>
      <c r="H51" s="26">
        <v>0</v>
      </c>
      <c r="I51" s="559">
        <v>15000</v>
      </c>
      <c r="J51" s="26"/>
      <c r="K51" s="444">
        <f t="shared" si="0"/>
        <v>15000</v>
      </c>
      <c r="L51" s="28">
        <f t="shared" si="1"/>
        <v>-38355</v>
      </c>
      <c r="M51" s="234"/>
      <c r="N51" s="799"/>
      <c r="O51" s="184"/>
      <c r="P51" s="802"/>
      <c r="Q51" s="31"/>
      <c r="R51" s="31">
        <v>-9823</v>
      </c>
      <c r="S51" s="422">
        <f t="shared" si="4"/>
        <v>0</v>
      </c>
      <c r="T51" s="28">
        <f t="shared" si="5"/>
        <v>5177</v>
      </c>
      <c r="U51" s="28">
        <f t="shared" si="6"/>
        <v>0</v>
      </c>
      <c r="V51" s="28">
        <f t="shared" si="7"/>
        <v>5177</v>
      </c>
      <c r="W51" s="31">
        <f t="shared" si="11"/>
        <v>5868</v>
      </c>
      <c r="X51" s="32"/>
      <c r="Y51" s="149">
        <f>43000-9546</f>
        <v>33454</v>
      </c>
      <c r="Z51" s="317"/>
      <c r="AA51" s="145"/>
      <c r="AB51" s="151"/>
      <c r="AC51" s="152"/>
      <c r="AD51" s="152"/>
      <c r="AE51" s="153"/>
      <c r="AG51" s="506"/>
      <c r="AH51" s="19"/>
    </row>
    <row r="52" spans="1:45" ht="18" customHeight="1" x14ac:dyDescent="0.25">
      <c r="A52" s="312" t="s">
        <v>100</v>
      </c>
      <c r="B52" s="312" t="s">
        <v>26</v>
      </c>
      <c r="C52" s="313">
        <v>3</v>
      </c>
      <c r="D52" s="312" t="s">
        <v>61</v>
      </c>
      <c r="E52" s="314" t="s">
        <v>53</v>
      </c>
      <c r="F52" s="314" t="s">
        <v>245</v>
      </c>
      <c r="G52" s="315" t="s">
        <v>246</v>
      </c>
      <c r="H52" s="26"/>
      <c r="I52" s="26">
        <v>0</v>
      </c>
      <c r="J52" s="26"/>
      <c r="K52" s="27">
        <f t="shared" si="0"/>
        <v>0</v>
      </c>
      <c r="L52" s="28">
        <f t="shared" si="1"/>
        <v>-38355</v>
      </c>
      <c r="M52" s="234"/>
      <c r="N52" s="799"/>
      <c r="O52" s="184"/>
      <c r="P52" s="802"/>
      <c r="Q52" s="31">
        <f t="shared" si="13"/>
        <v>0</v>
      </c>
      <c r="R52" s="97"/>
      <c r="S52" s="28">
        <f t="shared" si="4"/>
        <v>0</v>
      </c>
      <c r="T52" s="28">
        <f t="shared" si="5"/>
        <v>0</v>
      </c>
      <c r="U52" s="28">
        <f t="shared" si="6"/>
        <v>0</v>
      </c>
      <c r="V52" s="28">
        <f t="shared" si="7"/>
        <v>0</v>
      </c>
      <c r="W52" s="31">
        <f t="shared" si="11"/>
        <v>5868</v>
      </c>
      <c r="X52" s="32"/>
      <c r="Y52" s="462">
        <v>12486.5</v>
      </c>
      <c r="Z52" s="317"/>
      <c r="AA52" s="145"/>
      <c r="AB52" s="151"/>
      <c r="AC52" s="152"/>
      <c r="AD52" s="152"/>
      <c r="AE52" s="153"/>
      <c r="AH52" s="19"/>
      <c r="AL52" s="20" t="s">
        <v>7</v>
      </c>
    </row>
    <row r="53" spans="1:45" ht="18" customHeight="1" x14ac:dyDescent="0.25">
      <c r="A53" s="318" t="s">
        <v>100</v>
      </c>
      <c r="B53" s="318" t="s">
        <v>26</v>
      </c>
      <c r="C53" s="319"/>
      <c r="D53" s="318" t="s">
        <v>74</v>
      </c>
      <c r="E53" s="320" t="s">
        <v>53</v>
      </c>
      <c r="F53" s="320" t="s">
        <v>102</v>
      </c>
      <c r="G53" s="321" t="s">
        <v>45</v>
      </c>
      <c r="H53" s="559">
        <v>2000</v>
      </c>
      <c r="I53" s="26"/>
      <c r="J53" s="26"/>
      <c r="K53" s="27">
        <f t="shared" si="0"/>
        <v>2000</v>
      </c>
      <c r="L53" s="28">
        <f>+L52-K53</f>
        <v>-40355</v>
      </c>
      <c r="M53" s="29"/>
      <c r="N53" s="799"/>
      <c r="O53" s="30">
        <f t="shared" si="12"/>
        <v>0.2</v>
      </c>
      <c r="P53" s="802"/>
      <c r="Q53" s="97">
        <f t="shared" si="13"/>
        <v>0</v>
      </c>
      <c r="R53" s="31">
        <v>-1309</v>
      </c>
      <c r="S53" s="28">
        <f t="shared" si="4"/>
        <v>691</v>
      </c>
      <c r="T53" s="28">
        <f t="shared" si="5"/>
        <v>0</v>
      </c>
      <c r="U53" s="28">
        <f t="shared" si="6"/>
        <v>0</v>
      </c>
      <c r="V53" s="28">
        <f t="shared" si="7"/>
        <v>691</v>
      </c>
      <c r="W53" s="31">
        <f t="shared" si="11"/>
        <v>5177</v>
      </c>
      <c r="X53" s="32">
        <f t="shared" si="9"/>
        <v>45532</v>
      </c>
      <c r="Y53" s="80">
        <f>+Y52-15000</f>
        <v>-2513.5</v>
      </c>
      <c r="Z53" s="49">
        <f>+Z60-43000</f>
        <v>-43000</v>
      </c>
      <c r="AD53" s="322"/>
      <c r="AE53" s="153"/>
      <c r="AH53" s="19"/>
      <c r="AL53" s="20">
        <v>2879707</v>
      </c>
      <c r="AM53" s="20">
        <f>+AL53</f>
        <v>2879707</v>
      </c>
    </row>
    <row r="54" spans="1:45" ht="18.75" customHeight="1" thickBot="1" x14ac:dyDescent="0.3">
      <c r="A54" s="318" t="s">
        <v>100</v>
      </c>
      <c r="B54" s="318" t="s">
        <v>26</v>
      </c>
      <c r="C54" s="319"/>
      <c r="D54" s="318" t="s">
        <v>101</v>
      </c>
      <c r="E54" s="320" t="s">
        <v>53</v>
      </c>
      <c r="F54" s="320" t="s">
        <v>103</v>
      </c>
      <c r="G54" s="323" t="s">
        <v>43</v>
      </c>
      <c r="H54" s="26"/>
      <c r="I54" s="26"/>
      <c r="J54" s="26"/>
      <c r="K54" s="27">
        <f t="shared" si="0"/>
        <v>0</v>
      </c>
      <c r="L54" s="28">
        <f t="shared" si="1"/>
        <v>-40355</v>
      </c>
      <c r="M54" s="29"/>
      <c r="N54" s="799"/>
      <c r="O54" s="30">
        <f t="shared" si="12"/>
        <v>0</v>
      </c>
      <c r="P54" s="802"/>
      <c r="Q54" s="97">
        <f t="shared" si="13"/>
        <v>0</v>
      </c>
      <c r="R54" s="31">
        <v>0</v>
      </c>
      <c r="S54" s="28">
        <f t="shared" si="4"/>
        <v>0</v>
      </c>
      <c r="T54" s="28">
        <f t="shared" si="5"/>
        <v>0</v>
      </c>
      <c r="U54" s="28">
        <f t="shared" si="6"/>
        <v>0</v>
      </c>
      <c r="V54" s="28">
        <f t="shared" si="7"/>
        <v>0</v>
      </c>
      <c r="W54" s="31">
        <f t="shared" si="11"/>
        <v>5177</v>
      </c>
      <c r="X54" s="32">
        <f t="shared" si="9"/>
        <v>45532</v>
      </c>
      <c r="Y54" s="158"/>
      <c r="Z54" s="159"/>
      <c r="AA54" s="160"/>
      <c r="AB54" s="158"/>
      <c r="AC54" s="160"/>
      <c r="AD54" s="161"/>
      <c r="AE54" s="153"/>
      <c r="AH54" s="53"/>
      <c r="AL54" s="20">
        <v>43543</v>
      </c>
      <c r="AM54" s="20">
        <v>23543</v>
      </c>
    </row>
    <row r="55" spans="1:45" ht="18.75" thickBot="1" x14ac:dyDescent="0.3">
      <c r="A55" s="324" t="s">
        <v>100</v>
      </c>
      <c r="B55" s="324" t="s">
        <v>26</v>
      </c>
      <c r="C55" s="325"/>
      <c r="D55" s="324" t="s">
        <v>183</v>
      </c>
      <c r="E55" s="326" t="s">
        <v>53</v>
      </c>
      <c r="F55" s="326" t="s">
        <v>104</v>
      </c>
      <c r="G55" s="327" t="s">
        <v>37</v>
      </c>
      <c r="H55" s="26"/>
      <c r="I55" s="559">
        <v>15000</v>
      </c>
      <c r="J55" s="143"/>
      <c r="K55" s="27">
        <f t="shared" si="0"/>
        <v>15000</v>
      </c>
      <c r="L55" s="28">
        <f t="shared" si="1"/>
        <v>-55355</v>
      </c>
      <c r="M55" s="86"/>
      <c r="N55" s="800"/>
      <c r="O55" s="87">
        <f t="shared" si="12"/>
        <v>1.5</v>
      </c>
      <c r="P55" s="803"/>
      <c r="Q55" s="97">
        <f t="shared" si="13"/>
        <v>0</v>
      </c>
      <c r="R55" s="31">
        <v>-9823</v>
      </c>
      <c r="S55" s="423">
        <f t="shared" si="4"/>
        <v>0</v>
      </c>
      <c r="T55" s="28">
        <f>IF(I55&lt;&gt;0,+I55+Q55+R55,0)</f>
        <v>5177</v>
      </c>
      <c r="U55" s="423">
        <f t="shared" si="6"/>
        <v>0</v>
      </c>
      <c r="V55" s="423">
        <f>+S55+T55+U55</f>
        <v>5177</v>
      </c>
      <c r="W55" s="31">
        <f t="shared" si="11"/>
        <v>0</v>
      </c>
      <c r="X55" s="119">
        <f t="shared" si="9"/>
        <v>55355</v>
      </c>
      <c r="Y55" s="807">
        <f>Z8</f>
        <v>41918</v>
      </c>
      <c r="Z55" s="808"/>
      <c r="AA55" s="808"/>
      <c r="AB55" s="808"/>
      <c r="AC55" s="808"/>
      <c r="AD55" s="809"/>
      <c r="AL55" s="507">
        <f>+AL54/AL53</f>
        <v>1.5120635536879272E-2</v>
      </c>
      <c r="AM55" s="507">
        <f>+AM54/AM53</f>
        <v>8.1754845197792685E-3</v>
      </c>
    </row>
    <row r="56" spans="1:45" ht="18.75" customHeight="1" thickBot="1" x14ac:dyDescent="0.3">
      <c r="A56" s="154" t="s">
        <v>82</v>
      </c>
      <c r="B56" s="154" t="s">
        <v>26</v>
      </c>
      <c r="C56" s="155">
        <v>3</v>
      </c>
      <c r="D56" s="154" t="s">
        <v>183</v>
      </c>
      <c r="E56" s="156" t="s">
        <v>53</v>
      </c>
      <c r="F56" s="156" t="s">
        <v>108</v>
      </c>
      <c r="G56" s="156" t="s">
        <v>170</v>
      </c>
      <c r="H56" s="311"/>
      <c r="I56" s="311"/>
      <c r="J56" s="311"/>
      <c r="K56" s="311">
        <f t="shared" si="0"/>
        <v>0</v>
      </c>
      <c r="L56" s="28">
        <f t="shared" si="1"/>
        <v>-55355</v>
      </c>
      <c r="M56" s="804"/>
      <c r="N56" s="804">
        <f>SUM(K56:K80)</f>
        <v>0</v>
      </c>
      <c r="O56" s="96">
        <f t="shared" si="12"/>
        <v>0</v>
      </c>
      <c r="P56" s="172"/>
      <c r="Q56" s="157">
        <f t="shared" si="13"/>
        <v>0</v>
      </c>
      <c r="R56" s="157">
        <v>0</v>
      </c>
      <c r="S56" s="422">
        <f t="shared" si="4"/>
        <v>0</v>
      </c>
      <c r="T56" s="157">
        <f t="shared" si="5"/>
        <v>0</v>
      </c>
      <c r="U56" s="422">
        <f t="shared" si="6"/>
        <v>0</v>
      </c>
      <c r="V56" s="422">
        <f t="shared" si="7"/>
        <v>0</v>
      </c>
      <c r="W56" s="31">
        <f t="shared" si="11"/>
        <v>0</v>
      </c>
      <c r="X56" s="119">
        <f t="shared" si="9"/>
        <v>55355</v>
      </c>
      <c r="Y56" s="811" t="s">
        <v>186</v>
      </c>
      <c r="Z56" s="812"/>
      <c r="AA56" s="812"/>
      <c r="AB56" s="812"/>
      <c r="AC56" s="812"/>
      <c r="AD56" s="813"/>
      <c r="AE56" s="13"/>
      <c r="AF56" s="20" t="s">
        <v>290</v>
      </c>
    </row>
    <row r="57" spans="1:45" ht="29.25" customHeight="1" thickBot="1" x14ac:dyDescent="0.3">
      <c r="A57" s="162" t="s">
        <v>82</v>
      </c>
      <c r="B57" s="162" t="s">
        <v>87</v>
      </c>
      <c r="C57" s="163">
        <v>5</v>
      </c>
      <c r="D57" s="162" t="s">
        <v>85</v>
      </c>
      <c r="E57" s="164" t="s">
        <v>85</v>
      </c>
      <c r="F57" s="164" t="s">
        <v>86</v>
      </c>
      <c r="G57" s="165" t="s">
        <v>8</v>
      </c>
      <c r="H57" s="143"/>
      <c r="I57" s="143"/>
      <c r="J57" s="143">
        <v>0</v>
      </c>
      <c r="K57" s="445">
        <f t="shared" si="0"/>
        <v>0</v>
      </c>
      <c r="L57" s="28">
        <f t="shared" si="1"/>
        <v>-55355</v>
      </c>
      <c r="M57" s="800"/>
      <c r="N57" s="800"/>
      <c r="O57" s="87" t="e">
        <f t="shared" ref="O57:O80" si="14">+K57/$N$56</f>
        <v>#DIV/0!</v>
      </c>
      <c r="P57" s="328"/>
      <c r="Q57" s="448">
        <f t="shared" si="13"/>
        <v>0</v>
      </c>
      <c r="R57" s="144">
        <v>0</v>
      </c>
      <c r="S57" s="423">
        <f t="shared" si="4"/>
        <v>0</v>
      </c>
      <c r="T57" s="423">
        <f t="shared" si="5"/>
        <v>0</v>
      </c>
      <c r="U57" s="423">
        <f t="shared" si="6"/>
        <v>0</v>
      </c>
      <c r="V57" s="423">
        <f t="shared" si="7"/>
        <v>0</v>
      </c>
      <c r="W57" s="31">
        <f t="shared" si="11"/>
        <v>0</v>
      </c>
      <c r="X57" s="408"/>
      <c r="Y57" s="173" t="s">
        <v>109</v>
      </c>
      <c r="Z57" s="174" t="s">
        <v>56</v>
      </c>
      <c r="AA57" s="175" t="s">
        <v>60</v>
      </c>
      <c r="AB57" s="176" t="s">
        <v>110</v>
      </c>
      <c r="AC57" s="177" t="s">
        <v>111</v>
      </c>
      <c r="AD57" s="178" t="s">
        <v>9</v>
      </c>
      <c r="AE57" s="185"/>
      <c r="AF57" s="513">
        <v>0.29166666666666669</v>
      </c>
      <c r="AG57" s="513">
        <v>0.45833333333333331</v>
      </c>
      <c r="AH57" s="514" t="s">
        <v>291</v>
      </c>
      <c r="AI57" s="514" t="s">
        <v>292</v>
      </c>
      <c r="AL57" s="20" t="s">
        <v>232</v>
      </c>
    </row>
    <row r="58" spans="1:45" ht="15.75" customHeight="1" x14ac:dyDescent="0.25">
      <c r="A58" s="166"/>
      <c r="B58" s="166"/>
      <c r="C58" s="167"/>
      <c r="D58" s="166"/>
      <c r="E58" s="166"/>
      <c r="F58" s="168"/>
      <c r="G58" s="169"/>
      <c r="H58" s="170"/>
      <c r="I58" s="170"/>
      <c r="J58" s="170"/>
      <c r="K58" s="27">
        <f t="shared" si="0"/>
        <v>0</v>
      </c>
      <c r="L58" s="28">
        <f t="shared" si="1"/>
        <v>-55355</v>
      </c>
      <c r="M58" s="148"/>
      <c r="N58" s="148"/>
      <c r="O58" s="184" t="e">
        <f t="shared" si="14"/>
        <v>#DIV/0!</v>
      </c>
      <c r="P58" s="171"/>
      <c r="Q58" s="97">
        <f t="shared" ref="Q58:Q81" si="15">IF($P$57=0,0,(-($P$57*O58)+K58)-K58)</f>
        <v>0</v>
      </c>
      <c r="R58" s="97"/>
      <c r="S58" s="422">
        <f t="shared" si="4"/>
        <v>0</v>
      </c>
      <c r="T58" s="422">
        <f t="shared" si="5"/>
        <v>0</v>
      </c>
      <c r="U58" s="422">
        <f t="shared" si="6"/>
        <v>0</v>
      </c>
      <c r="V58" s="422">
        <f t="shared" si="7"/>
        <v>0</v>
      </c>
      <c r="W58" s="31">
        <f t="shared" si="11"/>
        <v>0</v>
      </c>
      <c r="X58" s="408"/>
      <c r="Y58" s="180" t="s">
        <v>7</v>
      </c>
      <c r="Z58" s="181">
        <f>+AB4</f>
        <v>59394</v>
      </c>
      <c r="AA58" s="182">
        <f>+AB3</f>
        <v>85710</v>
      </c>
      <c r="AB58" s="182">
        <f>Z12</f>
        <v>0</v>
      </c>
      <c r="AC58" s="181">
        <f>AB10</f>
        <v>0</v>
      </c>
      <c r="AD58" s="183">
        <f>SUM(Z58:AC58)</f>
        <v>145104</v>
      </c>
      <c r="AE58" s="185">
        <v>90000</v>
      </c>
      <c r="AL58" s="20">
        <v>9267528</v>
      </c>
    </row>
    <row r="59" spans="1:45" ht="15.75" customHeight="1" x14ac:dyDescent="0.25">
      <c r="A59" s="186"/>
      <c r="B59" s="186"/>
      <c r="C59" s="187"/>
      <c r="D59" s="186"/>
      <c r="E59" s="186"/>
      <c r="F59" s="188"/>
      <c r="G59" s="189"/>
      <c r="H59" s="190"/>
      <c r="I59" s="190"/>
      <c r="J59" s="190"/>
      <c r="K59" s="27">
        <f t="shared" si="0"/>
        <v>0</v>
      </c>
      <c r="L59" s="28">
        <f t="shared" si="1"/>
        <v>-55355</v>
      </c>
      <c r="M59" s="148"/>
      <c r="N59" s="148"/>
      <c r="O59" s="30" t="e">
        <f t="shared" si="14"/>
        <v>#DIV/0!</v>
      </c>
      <c r="P59" s="171"/>
      <c r="Q59" s="31">
        <f t="shared" si="15"/>
        <v>0</v>
      </c>
      <c r="R59" s="31"/>
      <c r="S59" s="28">
        <f t="shared" si="4"/>
        <v>0</v>
      </c>
      <c r="T59" s="28">
        <f t="shared" si="5"/>
        <v>0</v>
      </c>
      <c r="U59" s="28">
        <f t="shared" si="6"/>
        <v>0</v>
      </c>
      <c r="V59" s="28">
        <f t="shared" si="7"/>
        <v>0</v>
      </c>
      <c r="W59" s="31">
        <f t="shared" si="11"/>
        <v>0</v>
      </c>
      <c r="X59" s="408"/>
      <c r="Y59" s="180" t="s">
        <v>17</v>
      </c>
      <c r="Z59" s="182">
        <f>+AC4</f>
        <v>153551</v>
      </c>
      <c r="AA59" s="182">
        <f>AC3</f>
        <v>171624</v>
      </c>
      <c r="AB59" s="182">
        <f>Z11</f>
        <v>0</v>
      </c>
      <c r="AC59" s="181">
        <v>0</v>
      </c>
      <c r="AD59" s="183">
        <f>SUM(Z59:AC59)</f>
        <v>325175</v>
      </c>
      <c r="AE59" s="185">
        <f>334000+21000</f>
        <v>355000</v>
      </c>
      <c r="AF59" s="51">
        <v>65000</v>
      </c>
      <c r="AG59" s="51">
        <f>+AE59*5/24</f>
        <v>73958.333333333328</v>
      </c>
      <c r="AH59" s="51">
        <f>260000*12/24</f>
        <v>130000</v>
      </c>
      <c r="AI59" s="51">
        <f>+AF59+AG59+AH59</f>
        <v>268958.33333333331</v>
      </c>
      <c r="AJ59" s="50">
        <f>+AI59-AD59</f>
        <v>-56216.666666666686</v>
      </c>
      <c r="AL59" s="20">
        <v>4410</v>
      </c>
    </row>
    <row r="60" spans="1:45" s="196" customFormat="1" ht="15.75" customHeight="1" x14ac:dyDescent="0.25">
      <c r="A60" s="186"/>
      <c r="B60" s="186"/>
      <c r="C60" s="186"/>
      <c r="D60" s="186"/>
      <c r="E60" s="186"/>
      <c r="F60" s="186"/>
      <c r="G60" s="189"/>
      <c r="H60" s="190"/>
      <c r="I60" s="190"/>
      <c r="J60" s="190"/>
      <c r="K60" s="27">
        <f t="shared" si="0"/>
        <v>0</v>
      </c>
      <c r="L60" s="28">
        <f t="shared" si="1"/>
        <v>-55355</v>
      </c>
      <c r="M60" s="148"/>
      <c r="N60" s="148"/>
      <c r="O60" s="30" t="e">
        <f t="shared" si="14"/>
        <v>#DIV/0!</v>
      </c>
      <c r="P60" s="171"/>
      <c r="Q60" s="31">
        <f t="shared" si="15"/>
        <v>0</v>
      </c>
      <c r="R60" s="31"/>
      <c r="S60" s="28">
        <f t="shared" si="4"/>
        <v>0</v>
      </c>
      <c r="T60" s="28">
        <f t="shared" si="5"/>
        <v>0</v>
      </c>
      <c r="U60" s="28">
        <f t="shared" si="6"/>
        <v>0</v>
      </c>
      <c r="V60" s="28">
        <f t="shared" si="7"/>
        <v>0</v>
      </c>
      <c r="W60" s="31">
        <f t="shared" si="11"/>
        <v>0</v>
      </c>
      <c r="X60" s="408"/>
      <c r="Y60" s="180" t="s">
        <v>112</v>
      </c>
      <c r="Z60" s="181">
        <f>+AD4+AH11</f>
        <v>0</v>
      </c>
      <c r="AA60" s="182">
        <f>+AD3+AH10</f>
        <v>25000</v>
      </c>
      <c r="AB60" s="191">
        <v>0</v>
      </c>
      <c r="AC60" s="181">
        <v>0</v>
      </c>
      <c r="AD60" s="183">
        <f>SUM(Z60:AC60)</f>
        <v>25000</v>
      </c>
      <c r="AE60" s="185">
        <v>50000</v>
      </c>
      <c r="AF60" s="20"/>
      <c r="AG60" s="20"/>
      <c r="AH60" s="50"/>
      <c r="AI60" s="20"/>
      <c r="AJ60" s="20"/>
      <c r="AK60" s="20"/>
      <c r="AL60" s="509">
        <f>+AL59/AL58</f>
        <v>4.7585505001981112E-4</v>
      </c>
      <c r="AM60" s="20"/>
      <c r="AN60" s="20"/>
      <c r="AO60" s="20"/>
      <c r="AP60" s="20"/>
      <c r="AQ60" s="20"/>
      <c r="AR60" s="20"/>
      <c r="AS60" s="20"/>
    </row>
    <row r="61" spans="1:45" s="196" customFormat="1" ht="15.75" customHeight="1" x14ac:dyDescent="0.25">
      <c r="A61" s="186"/>
      <c r="B61" s="186"/>
      <c r="C61" s="187"/>
      <c r="D61" s="186"/>
      <c r="E61" s="197"/>
      <c r="F61" s="197"/>
      <c r="G61" s="198"/>
      <c r="H61" s="190"/>
      <c r="I61" s="190"/>
      <c r="J61" s="190"/>
      <c r="K61" s="27">
        <f t="shared" si="0"/>
        <v>0</v>
      </c>
      <c r="L61" s="28">
        <f t="shared" si="1"/>
        <v>-55355</v>
      </c>
      <c r="M61" s="148"/>
      <c r="N61" s="148"/>
      <c r="O61" s="30" t="e">
        <f t="shared" si="14"/>
        <v>#DIV/0!</v>
      </c>
      <c r="P61" s="171"/>
      <c r="Q61" s="31">
        <f t="shared" si="15"/>
        <v>0</v>
      </c>
      <c r="R61" s="31"/>
      <c r="S61" s="28">
        <f t="shared" si="4"/>
        <v>0</v>
      </c>
      <c r="T61" s="28">
        <f t="shared" si="5"/>
        <v>0</v>
      </c>
      <c r="U61" s="28">
        <f t="shared" si="6"/>
        <v>0</v>
      </c>
      <c r="V61" s="28">
        <f t="shared" si="7"/>
        <v>0</v>
      </c>
      <c r="W61" s="31">
        <f t="shared" si="11"/>
        <v>0</v>
      </c>
      <c r="X61" s="408"/>
      <c r="Y61" s="193" t="s">
        <v>113</v>
      </c>
      <c r="Z61" s="194">
        <f>SUM(Z58:Z60)</f>
        <v>212945</v>
      </c>
      <c r="AA61" s="194">
        <f>SUM(AA58:AA60)</f>
        <v>282334</v>
      </c>
      <c r="AB61" s="194">
        <f>SUM(AB58:AB60)</f>
        <v>0</v>
      </c>
      <c r="AC61" s="194">
        <f>AB10</f>
        <v>0</v>
      </c>
      <c r="AD61" s="195">
        <f>SUM(AD58:AD60)</f>
        <v>495279</v>
      </c>
      <c r="AE61" s="185">
        <f>SUM(AE58:AE60)</f>
        <v>495000</v>
      </c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ht="16.5" customHeight="1" thickBot="1" x14ac:dyDescent="0.3">
      <c r="A62" s="186"/>
      <c r="B62" s="186"/>
      <c r="C62" s="187"/>
      <c r="D62" s="186"/>
      <c r="E62" s="197"/>
      <c r="F62" s="197"/>
      <c r="G62" s="198"/>
      <c r="H62" s="190"/>
      <c r="I62" s="190"/>
      <c r="J62" s="190"/>
      <c r="K62" s="27">
        <f t="shared" si="0"/>
        <v>0</v>
      </c>
      <c r="L62" s="28">
        <f t="shared" si="1"/>
        <v>-55355</v>
      </c>
      <c r="M62" s="148"/>
      <c r="N62" s="148"/>
      <c r="O62" s="30" t="e">
        <f t="shared" si="14"/>
        <v>#DIV/0!</v>
      </c>
      <c r="P62" s="171"/>
      <c r="Q62" s="31">
        <f t="shared" si="15"/>
        <v>0</v>
      </c>
      <c r="R62" s="31"/>
      <c r="S62" s="28">
        <f t="shared" si="4"/>
        <v>0</v>
      </c>
      <c r="T62" s="28">
        <f t="shared" si="5"/>
        <v>0</v>
      </c>
      <c r="U62" s="28">
        <f t="shared" si="6"/>
        <v>0</v>
      </c>
      <c r="V62" s="28">
        <f t="shared" si="7"/>
        <v>0</v>
      </c>
      <c r="W62" s="31">
        <f t="shared" si="11"/>
        <v>0</v>
      </c>
      <c r="X62" s="408"/>
      <c r="Y62" s="199" t="s">
        <v>114</v>
      </c>
      <c r="Z62" s="200">
        <f>(Z58/$Z$28+(Z59/$Z$27)+(Z60/$Z$29))</f>
        <v>213528.55086401035</v>
      </c>
      <c r="AA62" s="200">
        <f>(AA58/$Z$28+(AA59/$Z$27)+(AA60/$Z$29))</f>
        <v>283110.18051816674</v>
      </c>
      <c r="AB62" s="200">
        <f>(AB58/$Z$28)+(AB59/$Z$27)</f>
        <v>0</v>
      </c>
      <c r="AC62" s="200">
        <f>AB9</f>
        <v>0</v>
      </c>
      <c r="AD62" s="201">
        <f>(AD58/$Z$28+(AD59/$Z$27)+(AD60/$Z$29))</f>
        <v>496638.73138217709</v>
      </c>
      <c r="AE62" s="185"/>
    </row>
    <row r="63" spans="1:45" ht="16.5" customHeight="1" thickBot="1" x14ac:dyDescent="0.3">
      <c r="A63" s="186"/>
      <c r="B63" s="186"/>
      <c r="C63" s="187"/>
      <c r="D63" s="186"/>
      <c r="E63" s="202"/>
      <c r="F63" s="202"/>
      <c r="G63" s="198"/>
      <c r="H63" s="190"/>
      <c r="I63" s="190"/>
      <c r="J63" s="190"/>
      <c r="K63" s="27">
        <f t="shared" si="0"/>
        <v>0</v>
      </c>
      <c r="L63" s="28">
        <f t="shared" si="1"/>
        <v>-55355</v>
      </c>
      <c r="M63" s="148"/>
      <c r="N63" s="148"/>
      <c r="O63" s="30" t="e">
        <f t="shared" si="14"/>
        <v>#DIV/0!</v>
      </c>
      <c r="P63" s="171"/>
      <c r="Q63" s="31">
        <f t="shared" si="15"/>
        <v>0</v>
      </c>
      <c r="R63" s="31"/>
      <c r="S63" s="28">
        <f t="shared" si="4"/>
        <v>0</v>
      </c>
      <c r="T63" s="28">
        <f t="shared" si="5"/>
        <v>0</v>
      </c>
      <c r="U63" s="28">
        <f t="shared" si="6"/>
        <v>0</v>
      </c>
      <c r="V63" s="28">
        <f t="shared" si="7"/>
        <v>0</v>
      </c>
      <c r="W63" s="31">
        <f t="shared" si="11"/>
        <v>0</v>
      </c>
      <c r="X63" s="408"/>
      <c r="Y63" s="368" t="s">
        <v>293</v>
      </c>
      <c r="Z63" s="369"/>
      <c r="AA63" s="369"/>
      <c r="AB63" s="369"/>
      <c r="AC63" s="369"/>
      <c r="AD63" s="370"/>
      <c r="AE63" s="185"/>
      <c r="AI63" s="192"/>
      <c r="AJ63" s="192"/>
      <c r="AK63" s="32" t="s">
        <v>194</v>
      </c>
      <c r="AL63" s="17">
        <v>333593</v>
      </c>
      <c r="AM63" s="17"/>
    </row>
    <row r="64" spans="1:45" ht="18" customHeight="1" thickBot="1" x14ac:dyDescent="0.3">
      <c r="A64" s="186"/>
      <c r="B64" s="186"/>
      <c r="C64" s="187"/>
      <c r="D64" s="186"/>
      <c r="E64" s="186"/>
      <c r="F64" s="188"/>
      <c r="G64" s="189"/>
      <c r="H64" s="190"/>
      <c r="I64" s="190"/>
      <c r="J64" s="190"/>
      <c r="K64" s="27">
        <f t="shared" si="0"/>
        <v>0</v>
      </c>
      <c r="L64" s="28">
        <f t="shared" si="1"/>
        <v>-55355</v>
      </c>
      <c r="M64" s="148"/>
      <c r="N64" s="148"/>
      <c r="O64" s="30" t="e">
        <f t="shared" si="14"/>
        <v>#DIV/0!</v>
      </c>
      <c r="P64" s="171"/>
      <c r="Q64" s="31">
        <f t="shared" si="15"/>
        <v>0</v>
      </c>
      <c r="R64" s="31"/>
      <c r="S64" s="28">
        <f t="shared" si="4"/>
        <v>0</v>
      </c>
      <c r="T64" s="28">
        <f t="shared" si="5"/>
        <v>0</v>
      </c>
      <c r="U64" s="28">
        <f t="shared" si="6"/>
        <v>0</v>
      </c>
      <c r="V64" s="28">
        <f t="shared" si="7"/>
        <v>0</v>
      </c>
      <c r="W64" s="31">
        <f t="shared" si="11"/>
        <v>0</v>
      </c>
      <c r="X64" s="408"/>
      <c r="Y64" s="368" t="s">
        <v>303</v>
      </c>
      <c r="Z64" s="369"/>
      <c r="AA64" s="369"/>
      <c r="AB64" s="369"/>
      <c r="AC64" s="369"/>
      <c r="AD64" s="370"/>
      <c r="AE64" s="185"/>
      <c r="AI64" s="206"/>
      <c r="AJ64" s="206"/>
      <c r="AK64" s="185" t="s">
        <v>195</v>
      </c>
      <c r="AL64" s="373">
        <f>535+6432</f>
        <v>6967</v>
      </c>
    </row>
    <row r="65" spans="1:43" ht="16.5" customHeight="1" x14ac:dyDescent="0.25">
      <c r="A65" s="186"/>
      <c r="B65" s="186"/>
      <c r="C65" s="187"/>
      <c r="D65" s="186"/>
      <c r="E65" s="186"/>
      <c r="F65" s="188"/>
      <c r="G65" s="189"/>
      <c r="H65" s="190"/>
      <c r="I65" s="190"/>
      <c r="J65" s="190"/>
      <c r="K65" s="27">
        <f t="shared" si="0"/>
        <v>0</v>
      </c>
      <c r="L65" s="28">
        <f t="shared" si="1"/>
        <v>-55355</v>
      </c>
      <c r="M65" s="148"/>
      <c r="N65" s="148"/>
      <c r="O65" s="30" t="e">
        <f t="shared" si="14"/>
        <v>#DIV/0!</v>
      </c>
      <c r="P65" s="171"/>
      <c r="Q65" s="31">
        <f t="shared" si="15"/>
        <v>0</v>
      </c>
      <c r="R65" s="31"/>
      <c r="S65" s="28">
        <f t="shared" si="4"/>
        <v>0</v>
      </c>
      <c r="T65" s="28">
        <f t="shared" si="5"/>
        <v>0</v>
      </c>
      <c r="U65" s="28">
        <f t="shared" si="6"/>
        <v>0</v>
      </c>
      <c r="V65" s="28">
        <f t="shared" si="7"/>
        <v>0</v>
      </c>
      <c r="W65" s="31">
        <f t="shared" si="11"/>
        <v>0</v>
      </c>
      <c r="X65" s="408"/>
      <c r="Y65" s="371" t="s">
        <v>115</v>
      </c>
      <c r="Z65" s="484"/>
      <c r="AA65" s="203">
        <v>118686</v>
      </c>
      <c r="AB65" s="204"/>
      <c r="AC65" s="204"/>
      <c r="AD65" s="205"/>
      <c r="AE65" s="32">
        <v>108797.23749999999</v>
      </c>
      <c r="AF65" s="53">
        <f>+AA65-AE65</f>
        <v>9888.7625000000116</v>
      </c>
      <c r="AI65" s="103"/>
      <c r="AJ65" s="103"/>
      <c r="AK65" s="13" t="s">
        <v>8</v>
      </c>
      <c r="AL65" s="373">
        <v>60693</v>
      </c>
    </row>
    <row r="66" spans="1:43" ht="15.75" customHeight="1" x14ac:dyDescent="0.25">
      <c r="A66" s="186"/>
      <c r="B66" s="186"/>
      <c r="C66" s="187"/>
      <c r="D66" s="186"/>
      <c r="E66" s="186"/>
      <c r="F66" s="188"/>
      <c r="G66" s="189"/>
      <c r="H66" s="190"/>
      <c r="I66" s="190"/>
      <c r="J66" s="190"/>
      <c r="K66" s="27">
        <f t="shared" si="0"/>
        <v>0</v>
      </c>
      <c r="L66" s="28">
        <f t="shared" si="1"/>
        <v>-55355</v>
      </c>
      <c r="M66" s="148"/>
      <c r="N66" s="148"/>
      <c r="O66" s="30" t="e">
        <f t="shared" si="14"/>
        <v>#DIV/0!</v>
      </c>
      <c r="P66" s="171"/>
      <c r="Q66" s="31">
        <f t="shared" si="15"/>
        <v>0</v>
      </c>
      <c r="R66" s="31"/>
      <c r="S66" s="28">
        <f t="shared" si="4"/>
        <v>0</v>
      </c>
      <c r="T66" s="28">
        <f t="shared" si="5"/>
        <v>0</v>
      </c>
      <c r="U66" s="28">
        <f t="shared" si="6"/>
        <v>0</v>
      </c>
      <c r="V66" s="28">
        <f t="shared" si="7"/>
        <v>0</v>
      </c>
      <c r="W66" s="31">
        <f t="shared" si="11"/>
        <v>0</v>
      </c>
      <c r="X66" s="408"/>
      <c r="Y66" s="814" t="s">
        <v>116</v>
      </c>
      <c r="Z66" s="815"/>
      <c r="AA66" s="203">
        <v>130725</v>
      </c>
      <c r="AB66" s="208"/>
      <c r="AC66" s="208"/>
      <c r="AD66" s="209"/>
      <c r="AE66" s="13">
        <v>52014.378240000005</v>
      </c>
      <c r="AF66" s="53">
        <f>+AA66-AE66</f>
        <v>78710.621759999995</v>
      </c>
      <c r="AI66" s="103"/>
      <c r="AJ66" s="103"/>
      <c r="AK66" s="213" t="s">
        <v>7</v>
      </c>
      <c r="AL66" s="374">
        <v>60934</v>
      </c>
    </row>
    <row r="67" spans="1:43" ht="15.75" customHeight="1" x14ac:dyDescent="0.25">
      <c r="A67" s="186"/>
      <c r="B67" s="186"/>
      <c r="C67" s="187"/>
      <c r="D67" s="186"/>
      <c r="E67" s="186"/>
      <c r="F67" s="188"/>
      <c r="G67" s="189"/>
      <c r="H67" s="190"/>
      <c r="I67" s="190"/>
      <c r="J67" s="190"/>
      <c r="K67" s="27">
        <f t="shared" si="0"/>
        <v>0</v>
      </c>
      <c r="L67" s="28">
        <f t="shared" ref="L67:L103" si="16">+L66-K67</f>
        <v>-55355</v>
      </c>
      <c r="M67" s="148"/>
      <c r="N67" s="148"/>
      <c r="O67" s="30" t="e">
        <f t="shared" si="14"/>
        <v>#DIV/0!</v>
      </c>
      <c r="P67" s="171"/>
      <c r="Q67" s="31">
        <f t="shared" si="15"/>
        <v>0</v>
      </c>
      <c r="R67" s="31"/>
      <c r="S67" s="28">
        <f t="shared" si="4"/>
        <v>0</v>
      </c>
      <c r="T67" s="28">
        <f t="shared" si="5"/>
        <v>0</v>
      </c>
      <c r="U67" s="28">
        <f t="shared" si="6"/>
        <v>0</v>
      </c>
      <c r="V67" s="28">
        <f t="shared" si="7"/>
        <v>0</v>
      </c>
      <c r="W67" s="31">
        <f t="shared" si="11"/>
        <v>0</v>
      </c>
      <c r="X67" s="408"/>
      <c r="Y67" s="814" t="s">
        <v>117</v>
      </c>
      <c r="Z67" s="815"/>
      <c r="AA67" s="207">
        <f>H50</f>
        <v>0</v>
      </c>
      <c r="AB67" s="204"/>
      <c r="AC67" s="204"/>
      <c r="AD67" s="205"/>
      <c r="AE67" s="32"/>
      <c r="AF67" s="53"/>
      <c r="AI67" s="103"/>
      <c r="AJ67" s="103"/>
      <c r="AK67" s="20" t="s">
        <v>196</v>
      </c>
      <c r="AL67" s="19">
        <f>326626-AL66-AL65</f>
        <v>204999</v>
      </c>
    </row>
    <row r="68" spans="1:43" ht="15.75" customHeight="1" x14ac:dyDescent="0.25">
      <c r="A68" s="186"/>
      <c r="B68" s="186"/>
      <c r="C68" s="187"/>
      <c r="D68" s="186"/>
      <c r="E68" s="197"/>
      <c r="F68" s="197"/>
      <c r="G68" s="210"/>
      <c r="H68" s="190"/>
      <c r="I68" s="190"/>
      <c r="J68" s="190"/>
      <c r="K68" s="27">
        <f t="shared" si="0"/>
        <v>0</v>
      </c>
      <c r="L68" s="28">
        <f t="shared" si="16"/>
        <v>-55355</v>
      </c>
      <c r="M68" s="148"/>
      <c r="N68" s="148"/>
      <c r="O68" s="30" t="e">
        <f t="shared" si="14"/>
        <v>#DIV/0!</v>
      </c>
      <c r="P68" s="171"/>
      <c r="Q68" s="31">
        <f t="shared" si="15"/>
        <v>0</v>
      </c>
      <c r="R68" s="31"/>
      <c r="S68" s="28">
        <f t="shared" si="4"/>
        <v>0</v>
      </c>
      <c r="T68" s="28">
        <f t="shared" si="5"/>
        <v>0</v>
      </c>
      <c r="U68" s="28">
        <f t="shared" si="6"/>
        <v>0</v>
      </c>
      <c r="V68" s="28">
        <f t="shared" si="7"/>
        <v>0</v>
      </c>
      <c r="W68" s="31">
        <f t="shared" si="11"/>
        <v>0</v>
      </c>
      <c r="X68" s="211"/>
      <c r="Y68" s="814" t="s">
        <v>188</v>
      </c>
      <c r="Z68" s="815"/>
      <c r="AA68" s="207">
        <f>Z9*Z30+AC61</f>
        <v>495222.47426441754</v>
      </c>
      <c r="AB68" s="204"/>
      <c r="AC68" s="204"/>
      <c r="AD68" s="205"/>
      <c r="AE68" s="213"/>
      <c r="AI68" s="103"/>
      <c r="AJ68" s="103"/>
    </row>
    <row r="69" spans="1:43" ht="18.75" customHeight="1" thickBot="1" x14ac:dyDescent="0.3">
      <c r="A69" s="186"/>
      <c r="B69" s="186"/>
      <c r="C69" s="187"/>
      <c r="D69" s="186"/>
      <c r="E69" s="202"/>
      <c r="F69" s="202"/>
      <c r="G69" s="198"/>
      <c r="H69" s="190"/>
      <c r="I69" s="190"/>
      <c r="J69" s="190"/>
      <c r="K69" s="27">
        <f t="shared" si="0"/>
        <v>0</v>
      </c>
      <c r="L69" s="28">
        <f t="shared" si="16"/>
        <v>-55355</v>
      </c>
      <c r="M69" s="148"/>
      <c r="N69" s="148"/>
      <c r="O69" s="30" t="e">
        <f t="shared" si="14"/>
        <v>#DIV/0!</v>
      </c>
      <c r="P69" s="171"/>
      <c r="Q69" s="31">
        <f t="shared" si="15"/>
        <v>0</v>
      </c>
      <c r="R69" s="31"/>
      <c r="S69" s="28">
        <f t="shared" si="4"/>
        <v>0</v>
      </c>
      <c r="T69" s="28">
        <f t="shared" si="5"/>
        <v>0</v>
      </c>
      <c r="U69" s="28">
        <f t="shared" si="6"/>
        <v>0</v>
      </c>
      <c r="V69" s="28">
        <f t="shared" si="7"/>
        <v>0</v>
      </c>
      <c r="W69" s="31">
        <f t="shared" si="11"/>
        <v>0</v>
      </c>
      <c r="X69" s="211"/>
      <c r="Y69" s="816" t="s">
        <v>187</v>
      </c>
      <c r="Z69" s="817"/>
      <c r="AA69" s="409">
        <f>Z15*Z30+AC61</f>
        <v>0</v>
      </c>
      <c r="AB69" s="410"/>
      <c r="AC69" s="410"/>
      <c r="AD69" s="411"/>
      <c r="AJ69" s="103"/>
    </row>
    <row r="70" spans="1:43" ht="18" customHeight="1" x14ac:dyDescent="0.25">
      <c r="A70" s="186"/>
      <c r="B70" s="186"/>
      <c r="C70" s="187"/>
      <c r="D70" s="186"/>
      <c r="E70" s="202"/>
      <c r="F70" s="202"/>
      <c r="G70" s="198"/>
      <c r="H70" s="190"/>
      <c r="I70" s="190"/>
      <c r="J70" s="190"/>
      <c r="K70" s="27">
        <f t="shared" si="0"/>
        <v>0</v>
      </c>
      <c r="L70" s="28">
        <f t="shared" si="16"/>
        <v>-55355</v>
      </c>
      <c r="M70" s="148"/>
      <c r="N70" s="148"/>
      <c r="O70" s="30" t="e">
        <f t="shared" si="14"/>
        <v>#DIV/0!</v>
      </c>
      <c r="P70" s="171"/>
      <c r="Q70" s="31">
        <f t="shared" si="15"/>
        <v>0</v>
      </c>
      <c r="R70" s="31"/>
      <c r="S70" s="28">
        <f t="shared" ref="S70:S103" si="17">IF(H70&lt;&gt;0,+H70+Q70+R70,0)</f>
        <v>0</v>
      </c>
      <c r="T70" s="28">
        <f>IF(I70&lt;&gt;0,+I70+Q70+R70,0)</f>
        <v>0</v>
      </c>
      <c r="U70" s="28">
        <f t="shared" ref="U70:U103" si="18">IF(J70&lt;&gt;0,+J70+Q70+R70,0)</f>
        <v>0</v>
      </c>
      <c r="V70" s="28">
        <f t="shared" ref="V70:V103" si="19">+S70+T70+U70</f>
        <v>0</v>
      </c>
      <c r="W70" s="31">
        <f t="shared" si="11"/>
        <v>0</v>
      </c>
      <c r="X70" s="211"/>
      <c r="Y70" s="213"/>
      <c r="Z70" s="232">
        <f>+Z61-2200</f>
        <v>210745</v>
      </c>
      <c r="AA70" s="213"/>
      <c r="AB70" s="213"/>
      <c r="AC70" s="213"/>
      <c r="AD70" s="233">
        <v>491197</v>
      </c>
      <c r="AE70" s="233">
        <f>+AD70-(Z61+AA61)</f>
        <v>-4082</v>
      </c>
    </row>
    <row r="71" spans="1:43" s="213" customFormat="1" ht="18" customHeight="1" x14ac:dyDescent="0.25">
      <c r="A71" s="186"/>
      <c r="B71" s="186"/>
      <c r="C71" s="187"/>
      <c r="D71" s="186"/>
      <c r="E71" s="197"/>
      <c r="F71" s="197"/>
      <c r="G71" s="210"/>
      <c r="H71" s="190"/>
      <c r="I71" s="190"/>
      <c r="J71" s="190"/>
      <c r="K71" s="27">
        <f t="shared" si="0"/>
        <v>0</v>
      </c>
      <c r="L71" s="28">
        <f t="shared" si="16"/>
        <v>-55355</v>
      </c>
      <c r="M71" s="148"/>
      <c r="N71" s="148"/>
      <c r="O71" s="30" t="e">
        <f t="shared" si="14"/>
        <v>#DIV/0!</v>
      </c>
      <c r="P71" s="171"/>
      <c r="Q71" s="31">
        <f t="shared" si="15"/>
        <v>0</v>
      </c>
      <c r="R71" s="31"/>
      <c r="S71" s="28">
        <f t="shared" si="17"/>
        <v>0</v>
      </c>
      <c r="T71" s="28">
        <f t="shared" ref="T71:T103" si="20">IF(I71&lt;&gt;0,+I71+Q71+R71,0)</f>
        <v>0</v>
      </c>
      <c r="U71" s="28">
        <f t="shared" si="18"/>
        <v>0</v>
      </c>
      <c r="V71" s="28">
        <f t="shared" si="19"/>
        <v>0</v>
      </c>
      <c r="W71" s="31">
        <f t="shared" si="11"/>
        <v>0</v>
      </c>
      <c r="X71" s="211"/>
      <c r="AF71" s="13"/>
      <c r="AG71" s="185"/>
      <c r="AI71" s="103"/>
    </row>
    <row r="72" spans="1:43" ht="18" customHeight="1" x14ac:dyDescent="0.25">
      <c r="A72" s="186"/>
      <c r="B72" s="186"/>
      <c r="C72" s="187"/>
      <c r="D72" s="186"/>
      <c r="E72" s="197"/>
      <c r="F72" s="197"/>
      <c r="G72" s="210"/>
      <c r="H72" s="190"/>
      <c r="I72" s="190"/>
      <c r="J72" s="190"/>
      <c r="K72" s="27">
        <f t="shared" si="0"/>
        <v>0</v>
      </c>
      <c r="L72" s="28">
        <f t="shared" si="16"/>
        <v>-55355</v>
      </c>
      <c r="M72" s="148"/>
      <c r="N72" s="148"/>
      <c r="O72" s="30" t="e">
        <f t="shared" si="14"/>
        <v>#DIV/0!</v>
      </c>
      <c r="P72" s="171"/>
      <c r="Q72" s="31">
        <f t="shared" si="15"/>
        <v>0</v>
      </c>
      <c r="R72" s="31"/>
      <c r="S72" s="28">
        <f t="shared" si="17"/>
        <v>0</v>
      </c>
      <c r="T72" s="28">
        <f t="shared" si="20"/>
        <v>0</v>
      </c>
      <c r="U72" s="28">
        <f t="shared" si="18"/>
        <v>0</v>
      </c>
      <c r="V72" s="28">
        <f t="shared" si="19"/>
        <v>0</v>
      </c>
      <c r="W72" s="31">
        <f t="shared" si="11"/>
        <v>0</v>
      </c>
      <c r="X72" s="211"/>
      <c r="Y72" s="214" t="s">
        <v>47</v>
      </c>
      <c r="Z72" s="215">
        <f>Z8</f>
        <v>41918</v>
      </c>
      <c r="AA72" s="818" t="s">
        <v>118</v>
      </c>
      <c r="AB72" s="818"/>
      <c r="AC72" s="818"/>
      <c r="AD72" s="216">
        <v>0</v>
      </c>
      <c r="AE72" s="217"/>
      <c r="AF72" s="218"/>
      <c r="AG72" s="149"/>
      <c r="AH72" s="149"/>
      <c r="AK72" s="819" t="s">
        <v>128</v>
      </c>
      <c r="AL72" s="819" t="s">
        <v>272</v>
      </c>
      <c r="AM72" s="375">
        <f>AD73</f>
        <v>24</v>
      </c>
      <c r="AN72" s="293" t="s">
        <v>267</v>
      </c>
      <c r="AO72" s="293" t="s">
        <v>21</v>
      </c>
      <c r="AP72" s="293" t="s">
        <v>273</v>
      </c>
      <c r="AQ72" s="293"/>
    </row>
    <row r="73" spans="1:43" ht="18" customHeight="1" x14ac:dyDescent="0.25">
      <c r="A73" s="186"/>
      <c r="B73" s="186"/>
      <c r="C73" s="187"/>
      <c r="D73" s="186"/>
      <c r="E73" s="197"/>
      <c r="F73" s="197"/>
      <c r="G73" s="210"/>
      <c r="H73" s="190"/>
      <c r="I73" s="190"/>
      <c r="J73" s="190"/>
      <c r="K73" s="27">
        <f t="shared" si="0"/>
        <v>0</v>
      </c>
      <c r="L73" s="28">
        <f t="shared" si="16"/>
        <v>-55355</v>
      </c>
      <c r="M73" s="148"/>
      <c r="N73" s="148"/>
      <c r="O73" s="30" t="e">
        <f t="shared" si="14"/>
        <v>#DIV/0!</v>
      </c>
      <c r="P73" s="171"/>
      <c r="Q73" s="31">
        <f t="shared" si="15"/>
        <v>0</v>
      </c>
      <c r="R73" s="31"/>
      <c r="S73" s="28">
        <f t="shared" si="17"/>
        <v>0</v>
      </c>
      <c r="T73" s="28">
        <f t="shared" si="20"/>
        <v>0</v>
      </c>
      <c r="U73" s="28">
        <f t="shared" si="18"/>
        <v>0</v>
      </c>
      <c r="V73" s="28">
        <f t="shared" si="19"/>
        <v>0</v>
      </c>
      <c r="W73" s="31">
        <f t="shared" si="11"/>
        <v>0</v>
      </c>
      <c r="X73" s="211"/>
      <c r="Y73" s="214" t="s">
        <v>119</v>
      </c>
      <c r="Z73" s="480">
        <f>AD72</f>
        <v>0</v>
      </c>
      <c r="AA73" s="578" t="s">
        <v>120</v>
      </c>
      <c r="AB73" s="578"/>
      <c r="AC73" s="578"/>
      <c r="AD73" s="219">
        <f>24-AD72</f>
        <v>24</v>
      </c>
      <c r="AE73" s="220"/>
      <c r="AF73" s="218"/>
      <c r="AG73" s="149"/>
      <c r="AH73" s="57"/>
      <c r="AI73" s="213"/>
      <c r="AK73" s="819"/>
      <c r="AL73" s="819"/>
      <c r="AM73" s="20" t="s">
        <v>8</v>
      </c>
      <c r="AN73" s="373">
        <f>((21500)/AM72*24)</f>
        <v>21500</v>
      </c>
      <c r="AO73" s="373">
        <f>AN73*AM72/24</f>
        <v>21500</v>
      </c>
      <c r="AP73" s="19">
        <f>21500*AD72/24</f>
        <v>0</v>
      </c>
      <c r="AQ73" s="19">
        <f>21500-AP73</f>
        <v>21500</v>
      </c>
    </row>
    <row r="74" spans="1:43" ht="18.75" customHeight="1" x14ac:dyDescent="0.25">
      <c r="A74" s="186"/>
      <c r="B74" s="186"/>
      <c r="C74" s="187"/>
      <c r="D74" s="186"/>
      <c r="E74" s="197"/>
      <c r="F74" s="197"/>
      <c r="G74" s="210"/>
      <c r="H74" s="190"/>
      <c r="I74" s="190"/>
      <c r="J74" s="190"/>
      <c r="K74" s="27">
        <f t="shared" ref="K74:K103" si="21">SUM(H74:J74)</f>
        <v>0</v>
      </c>
      <c r="L74" s="28">
        <f t="shared" si="16"/>
        <v>-55355</v>
      </c>
      <c r="M74" s="148"/>
      <c r="N74" s="148"/>
      <c r="O74" s="30" t="e">
        <f t="shared" si="14"/>
        <v>#DIV/0!</v>
      </c>
      <c r="P74" s="171"/>
      <c r="Q74" s="31">
        <f t="shared" si="15"/>
        <v>0</v>
      </c>
      <c r="R74" s="31"/>
      <c r="S74" s="28">
        <f t="shared" si="17"/>
        <v>0</v>
      </c>
      <c r="T74" s="28">
        <f t="shared" si="20"/>
        <v>0</v>
      </c>
      <c r="U74" s="28">
        <f t="shared" si="18"/>
        <v>0</v>
      </c>
      <c r="V74" s="28">
        <f t="shared" si="19"/>
        <v>0</v>
      </c>
      <c r="W74" s="31">
        <f t="shared" si="11"/>
        <v>0</v>
      </c>
      <c r="X74" s="211"/>
      <c r="Y74" s="221"/>
      <c r="Z74" s="221"/>
      <c r="AA74" s="221"/>
      <c r="AB74" s="221"/>
      <c r="AC74" s="221"/>
      <c r="AD74" s="221"/>
      <c r="AE74" s="221"/>
      <c r="AF74" s="218"/>
      <c r="AG74" s="149"/>
      <c r="AH74" s="35"/>
      <c r="AI74" s="579" t="s">
        <v>127</v>
      </c>
      <c r="AK74" s="819"/>
      <c r="AL74" s="819"/>
      <c r="AM74" s="20" t="s">
        <v>232</v>
      </c>
      <c r="AN74" s="19">
        <f>Z79-AN73</f>
        <v>-21500</v>
      </c>
      <c r="AO74" s="19"/>
    </row>
    <row r="75" spans="1:43" ht="37.5" customHeight="1" x14ac:dyDescent="0.25">
      <c r="A75" s="186"/>
      <c r="B75" s="186"/>
      <c r="C75" s="187"/>
      <c r="D75" s="186"/>
      <c r="E75" s="197"/>
      <c r="F75" s="197"/>
      <c r="G75" s="210"/>
      <c r="H75" s="190"/>
      <c r="I75" s="190"/>
      <c r="J75" s="190"/>
      <c r="K75" s="27">
        <f t="shared" si="21"/>
        <v>0</v>
      </c>
      <c r="L75" s="28">
        <f t="shared" si="16"/>
        <v>-55355</v>
      </c>
      <c r="M75" s="148"/>
      <c r="N75" s="148"/>
      <c r="O75" s="30" t="e">
        <f t="shared" si="14"/>
        <v>#DIV/0!</v>
      </c>
      <c r="P75" s="171"/>
      <c r="Q75" s="31">
        <f t="shared" si="15"/>
        <v>0</v>
      </c>
      <c r="R75" s="31"/>
      <c r="S75" s="28">
        <f t="shared" si="17"/>
        <v>0</v>
      </c>
      <c r="T75" s="28">
        <f t="shared" si="20"/>
        <v>0</v>
      </c>
      <c r="U75" s="28">
        <f t="shared" si="18"/>
        <v>0</v>
      </c>
      <c r="V75" s="28">
        <f t="shared" si="19"/>
        <v>0</v>
      </c>
      <c r="W75" s="31">
        <f t="shared" si="11"/>
        <v>0</v>
      </c>
      <c r="X75" s="211"/>
      <c r="Y75" s="579" t="s">
        <v>121</v>
      </c>
      <c r="Z75" s="579" t="s">
        <v>122</v>
      </c>
      <c r="AA75" s="579" t="s">
        <v>123</v>
      </c>
      <c r="AB75" s="820" t="s">
        <v>124</v>
      </c>
      <c r="AC75" s="821"/>
      <c r="AD75" s="822"/>
      <c r="AE75" s="579" t="s">
        <v>125</v>
      </c>
      <c r="AF75" s="579" t="s">
        <v>126</v>
      </c>
      <c r="AG75" s="149"/>
      <c r="AH75" s="579" t="s">
        <v>121</v>
      </c>
      <c r="AI75" s="579"/>
      <c r="AJ75" s="214" t="s">
        <v>7</v>
      </c>
      <c r="AK75" s="236">
        <f>((+AD78-AA78)/$AD$73)*24</f>
        <v>145104</v>
      </c>
      <c r="AL75" s="236">
        <f>AK75</f>
        <v>145104</v>
      </c>
      <c r="AM75" s="20" t="s">
        <v>7</v>
      </c>
      <c r="AN75" s="19">
        <f>AD58</f>
        <v>145104</v>
      </c>
      <c r="AO75" s="482"/>
    </row>
    <row r="76" spans="1:43" ht="18" customHeight="1" x14ac:dyDescent="0.25">
      <c r="A76" s="186"/>
      <c r="B76" s="186"/>
      <c r="C76" s="187"/>
      <c r="D76" s="186"/>
      <c r="E76" s="197"/>
      <c r="F76" s="197"/>
      <c r="G76" s="210"/>
      <c r="H76" s="190"/>
      <c r="I76" s="190"/>
      <c r="J76" s="190"/>
      <c r="K76" s="27">
        <f t="shared" si="21"/>
        <v>0</v>
      </c>
      <c r="L76" s="28">
        <f t="shared" si="16"/>
        <v>-55355</v>
      </c>
      <c r="M76" s="148"/>
      <c r="N76" s="148"/>
      <c r="O76" s="30" t="e">
        <f t="shared" si="14"/>
        <v>#DIV/0!</v>
      </c>
      <c r="P76" s="171"/>
      <c r="Q76" s="31">
        <f t="shared" si="15"/>
        <v>0</v>
      </c>
      <c r="R76" s="31"/>
      <c r="S76" s="28">
        <f t="shared" si="17"/>
        <v>0</v>
      </c>
      <c r="T76" s="28">
        <f t="shared" si="20"/>
        <v>0</v>
      </c>
      <c r="U76" s="28">
        <f t="shared" si="18"/>
        <v>0</v>
      </c>
      <c r="V76" s="28">
        <f t="shared" si="19"/>
        <v>0</v>
      </c>
      <c r="W76" s="31">
        <f t="shared" si="11"/>
        <v>0</v>
      </c>
      <c r="X76" s="211"/>
      <c r="Y76" s="579"/>
      <c r="Z76" s="579"/>
      <c r="AA76" s="579"/>
      <c r="AB76" s="579"/>
      <c r="AC76" s="579"/>
      <c r="AD76" s="579"/>
      <c r="AE76" s="579"/>
      <c r="AF76" s="579"/>
      <c r="AG76" s="149"/>
      <c r="AH76" s="579"/>
      <c r="AI76" s="579"/>
      <c r="AJ76" s="214" t="s">
        <v>6</v>
      </c>
      <c r="AK76" s="236">
        <f>((+AD79-AA79)/$AD$73)*24</f>
        <v>325175</v>
      </c>
      <c r="AL76" s="236">
        <f>+AK76</f>
        <v>325175</v>
      </c>
      <c r="AM76" s="464"/>
      <c r="AN76" s="19">
        <f>SUM(AN73:AN75)</f>
        <v>145104</v>
      </c>
      <c r="AO76" s="483"/>
      <c r="AQ76" s="50"/>
    </row>
    <row r="77" spans="1:43" ht="18" customHeight="1" x14ac:dyDescent="0.25">
      <c r="A77" s="186"/>
      <c r="B77" s="186"/>
      <c r="C77" s="187"/>
      <c r="D77" s="186"/>
      <c r="E77" s="197"/>
      <c r="F77" s="197"/>
      <c r="G77" s="210"/>
      <c r="H77" s="190"/>
      <c r="I77" s="190"/>
      <c r="J77" s="190"/>
      <c r="K77" s="27">
        <f t="shared" si="21"/>
        <v>0</v>
      </c>
      <c r="L77" s="28">
        <f t="shared" si="16"/>
        <v>-55355</v>
      </c>
      <c r="M77" s="148"/>
      <c r="N77" s="148"/>
      <c r="O77" s="30" t="e">
        <f t="shared" si="14"/>
        <v>#DIV/0!</v>
      </c>
      <c r="P77" s="171"/>
      <c r="Q77" s="31">
        <f t="shared" si="15"/>
        <v>0</v>
      </c>
      <c r="R77" s="31"/>
      <c r="S77" s="28">
        <f t="shared" si="17"/>
        <v>0</v>
      </c>
      <c r="T77" s="28">
        <f t="shared" si="20"/>
        <v>0</v>
      </c>
      <c r="U77" s="28">
        <f t="shared" si="18"/>
        <v>0</v>
      </c>
      <c r="V77" s="28">
        <f t="shared" si="19"/>
        <v>0</v>
      </c>
      <c r="W77" s="31">
        <f t="shared" si="11"/>
        <v>0</v>
      </c>
      <c r="X77" s="211"/>
      <c r="Y77" s="579"/>
      <c r="Z77" s="222" t="s">
        <v>129</v>
      </c>
      <c r="AA77" s="222" t="s">
        <v>129</v>
      </c>
      <c r="AB77" s="223" t="s">
        <v>56</v>
      </c>
      <c r="AC77" s="223" t="s">
        <v>60</v>
      </c>
      <c r="AD77" s="223" t="s">
        <v>130</v>
      </c>
      <c r="AE77" s="222" t="s">
        <v>129</v>
      </c>
      <c r="AF77" s="222" t="s">
        <v>129</v>
      </c>
      <c r="AG77" s="149"/>
      <c r="AH77" s="579"/>
      <c r="AI77" s="78"/>
      <c r="AJ77" s="214" t="s">
        <v>8</v>
      </c>
      <c r="AK77" s="236">
        <f>((+AD80-AA80)/$AD$73)*24</f>
        <v>25000</v>
      </c>
      <c r="AL77" s="236">
        <f>AK77</f>
        <v>25000</v>
      </c>
      <c r="AO77" s="51"/>
      <c r="AQ77" s="50"/>
    </row>
    <row r="78" spans="1:43" ht="18" customHeight="1" x14ac:dyDescent="0.25">
      <c r="A78" s="186"/>
      <c r="B78" s="186"/>
      <c r="C78" s="187"/>
      <c r="D78" s="186"/>
      <c r="E78" s="197"/>
      <c r="F78" s="197"/>
      <c r="G78" s="210"/>
      <c r="H78" s="190"/>
      <c r="I78" s="190"/>
      <c r="J78" s="190"/>
      <c r="K78" s="27">
        <f t="shared" si="21"/>
        <v>0</v>
      </c>
      <c r="L78" s="28">
        <f t="shared" si="16"/>
        <v>-55355</v>
      </c>
      <c r="M78" s="148"/>
      <c r="N78" s="148"/>
      <c r="O78" s="30" t="e">
        <f t="shared" si="14"/>
        <v>#DIV/0!</v>
      </c>
      <c r="P78" s="171"/>
      <c r="Q78" s="31">
        <f t="shared" si="15"/>
        <v>0</v>
      </c>
      <c r="R78" s="31"/>
      <c r="S78" s="28">
        <f t="shared" si="17"/>
        <v>0</v>
      </c>
      <c r="T78" s="28">
        <f t="shared" si="20"/>
        <v>0</v>
      </c>
      <c r="U78" s="28">
        <f t="shared" si="18"/>
        <v>0</v>
      </c>
      <c r="V78" s="28">
        <f t="shared" si="19"/>
        <v>0</v>
      </c>
      <c r="W78" s="31">
        <f t="shared" si="11"/>
        <v>0</v>
      </c>
      <c r="X78" s="211"/>
      <c r="Y78" s="214" t="s">
        <v>7</v>
      </c>
      <c r="Z78" s="224"/>
      <c r="AA78" s="225">
        <v>0</v>
      </c>
      <c r="AB78" s="226">
        <f t="shared" ref="AB78:AC80" si="22">+Z58</f>
        <v>59394</v>
      </c>
      <c r="AC78" s="226">
        <f t="shared" si="22"/>
        <v>85710</v>
      </c>
      <c r="AD78" s="226">
        <f>+AB78+AC78+AB58+AC58</f>
        <v>145104</v>
      </c>
      <c r="AE78" s="519">
        <f>+((AD58/24)*$AD$73)+AA78</f>
        <v>145104</v>
      </c>
      <c r="AF78" s="227">
        <f>+AE78-AD78</f>
        <v>0</v>
      </c>
      <c r="AG78" s="212"/>
      <c r="AH78" s="214" t="s">
        <v>7</v>
      </c>
      <c r="AI78" s="446">
        <f>+AA78</f>
        <v>0</v>
      </c>
      <c r="AK78" s="231">
        <f>+SUM(AK75:AK77)</f>
        <v>495279</v>
      </c>
      <c r="AL78" s="231">
        <f>+SUM(AL75:AL77)</f>
        <v>495279</v>
      </c>
      <c r="AM78" s="50"/>
      <c r="AO78" s="51"/>
    </row>
    <row r="79" spans="1:43" ht="18" customHeight="1" x14ac:dyDescent="0.25">
      <c r="A79" s="186"/>
      <c r="B79" s="186"/>
      <c r="C79" s="187"/>
      <c r="D79" s="186"/>
      <c r="E79" s="197"/>
      <c r="F79" s="197"/>
      <c r="G79" s="210"/>
      <c r="H79" s="190"/>
      <c r="I79" s="190"/>
      <c r="J79" s="190"/>
      <c r="K79" s="27">
        <f t="shared" si="21"/>
        <v>0</v>
      </c>
      <c r="L79" s="28">
        <f t="shared" si="16"/>
        <v>-55355</v>
      </c>
      <c r="M79" s="148"/>
      <c r="N79" s="148"/>
      <c r="O79" s="30" t="e">
        <f t="shared" si="14"/>
        <v>#DIV/0!</v>
      </c>
      <c r="P79" s="171"/>
      <c r="Q79" s="31">
        <f t="shared" si="15"/>
        <v>0</v>
      </c>
      <c r="R79" s="31"/>
      <c r="S79" s="28">
        <f t="shared" si="17"/>
        <v>0</v>
      </c>
      <c r="T79" s="28">
        <f t="shared" si="20"/>
        <v>0</v>
      </c>
      <c r="U79" s="28">
        <f t="shared" si="18"/>
        <v>0</v>
      </c>
      <c r="V79" s="28">
        <f t="shared" si="19"/>
        <v>0</v>
      </c>
      <c r="W79" s="31">
        <f t="shared" si="11"/>
        <v>0</v>
      </c>
      <c r="X79" s="211"/>
      <c r="Y79" s="214" t="s">
        <v>6</v>
      </c>
      <c r="Z79" s="224"/>
      <c r="AA79" s="225">
        <f>0+0</f>
        <v>0</v>
      </c>
      <c r="AB79" s="226">
        <f t="shared" si="22"/>
        <v>153551</v>
      </c>
      <c r="AC79" s="226">
        <f t="shared" si="22"/>
        <v>171624</v>
      </c>
      <c r="AD79" s="226">
        <f>+AB79+AC79+AB59</f>
        <v>325175</v>
      </c>
      <c r="AE79" s="519">
        <f>+((AD59/24)*$AD$73)+AA79</f>
        <v>325175</v>
      </c>
      <c r="AF79" s="227">
        <f>+AE79-AD79</f>
        <v>0</v>
      </c>
      <c r="AG79" s="212"/>
      <c r="AH79" s="214" t="s">
        <v>6</v>
      </c>
      <c r="AI79" s="446">
        <f>+AA79</f>
        <v>0</v>
      </c>
      <c r="AJ79" s="53"/>
      <c r="AK79" s="481">
        <v>536741</v>
      </c>
      <c r="AL79" s="481">
        <f>AK79-AK78</f>
        <v>41462</v>
      </c>
      <c r="AO79" s="51"/>
    </row>
    <row r="80" spans="1:43" ht="18" customHeight="1" x14ac:dyDescent="0.25">
      <c r="A80" s="186"/>
      <c r="B80" s="186"/>
      <c r="C80" s="187"/>
      <c r="D80" s="186"/>
      <c r="E80" s="197"/>
      <c r="F80" s="197"/>
      <c r="G80" s="210"/>
      <c r="H80" s="190"/>
      <c r="I80" s="190"/>
      <c r="J80" s="190"/>
      <c r="K80" s="27">
        <f t="shared" si="21"/>
        <v>0</v>
      </c>
      <c r="L80" s="28">
        <f t="shared" si="16"/>
        <v>-55355</v>
      </c>
      <c r="M80" s="148"/>
      <c r="N80" s="234"/>
      <c r="O80" s="30" t="e">
        <f t="shared" si="14"/>
        <v>#DIV/0!</v>
      </c>
      <c r="P80" s="179"/>
      <c r="Q80" s="31">
        <f t="shared" si="15"/>
        <v>0</v>
      </c>
      <c r="R80" s="31"/>
      <c r="S80" s="28">
        <f t="shared" si="17"/>
        <v>0</v>
      </c>
      <c r="T80" s="28">
        <f t="shared" si="20"/>
        <v>0</v>
      </c>
      <c r="U80" s="28">
        <f t="shared" si="18"/>
        <v>0</v>
      </c>
      <c r="V80" s="28">
        <f t="shared" si="19"/>
        <v>0</v>
      </c>
      <c r="W80" s="31">
        <f t="shared" si="11"/>
        <v>0</v>
      </c>
      <c r="X80" s="211"/>
      <c r="Y80" s="214" t="s">
        <v>8</v>
      </c>
      <c r="Z80" s="224"/>
      <c r="AA80" s="225">
        <v>0</v>
      </c>
      <c r="AB80" s="226">
        <f t="shared" si="22"/>
        <v>0</v>
      </c>
      <c r="AC80" s="226">
        <f t="shared" si="22"/>
        <v>25000</v>
      </c>
      <c r="AD80" s="226">
        <f>+AB80+AC80</f>
        <v>25000</v>
      </c>
      <c r="AE80" s="519">
        <f>+((AD60/24)*$AD$73)+AA80</f>
        <v>25000</v>
      </c>
      <c r="AF80" s="227">
        <f>+AE80-AD80</f>
        <v>0</v>
      </c>
      <c r="AG80" s="149"/>
      <c r="AH80" s="214" t="s">
        <v>8</v>
      </c>
      <c r="AI80" s="447">
        <f>+AA80</f>
        <v>0</v>
      </c>
      <c r="AK80" s="235" t="s">
        <v>131</v>
      </c>
      <c r="AL80" s="236">
        <v>0</v>
      </c>
    </row>
    <row r="81" spans="1:40" ht="18" customHeight="1" x14ac:dyDescent="0.25">
      <c r="A81" s="186"/>
      <c r="B81" s="186"/>
      <c r="C81" s="187"/>
      <c r="D81" s="186"/>
      <c r="E81" s="197"/>
      <c r="F81" s="197"/>
      <c r="G81" s="210"/>
      <c r="H81" s="190"/>
      <c r="I81" s="190"/>
      <c r="J81" s="190"/>
      <c r="K81" s="27">
        <f t="shared" si="21"/>
        <v>0</v>
      </c>
      <c r="L81" s="28">
        <f t="shared" si="16"/>
        <v>-55355</v>
      </c>
      <c r="M81" s="148"/>
      <c r="N81" s="810">
        <f>SUM(K81:K84)</f>
        <v>0</v>
      </c>
      <c r="O81" s="237" t="e">
        <f>+K81/$N$81</f>
        <v>#DIV/0!</v>
      </c>
      <c r="P81" s="238"/>
      <c r="Q81" s="31">
        <f t="shared" si="15"/>
        <v>0</v>
      </c>
      <c r="R81" s="31"/>
      <c r="S81" s="28">
        <f t="shared" si="17"/>
        <v>0</v>
      </c>
      <c r="T81" s="28">
        <f t="shared" si="20"/>
        <v>0</v>
      </c>
      <c r="U81" s="28">
        <f t="shared" si="18"/>
        <v>0</v>
      </c>
      <c r="V81" s="28">
        <f t="shared" si="19"/>
        <v>0</v>
      </c>
      <c r="W81" s="31">
        <f t="shared" si="11"/>
        <v>0</v>
      </c>
      <c r="X81" s="211"/>
      <c r="Y81" s="228" t="s">
        <v>130</v>
      </c>
      <c r="Z81" s="229">
        <f t="shared" ref="Z81:AE81" si="23">SUM(Z78:Z80)</f>
        <v>0</v>
      </c>
      <c r="AA81" s="230">
        <f t="shared" si="23"/>
        <v>0</v>
      </c>
      <c r="AB81" s="229">
        <f t="shared" si="23"/>
        <v>212945</v>
      </c>
      <c r="AC81" s="229">
        <f t="shared" si="23"/>
        <v>282334</v>
      </c>
      <c r="AD81" s="229">
        <f t="shared" si="23"/>
        <v>495279</v>
      </c>
      <c r="AE81" s="229">
        <f t="shared" si="23"/>
        <v>495279</v>
      </c>
      <c r="AF81" s="227">
        <f>+SUM(AF78:AF80)</f>
        <v>0</v>
      </c>
      <c r="AG81" s="213"/>
      <c r="AH81" s="228" t="s">
        <v>130</v>
      </c>
      <c r="AK81" s="456" t="s">
        <v>248</v>
      </c>
      <c r="AL81" s="236">
        <v>0</v>
      </c>
      <c r="AM81" s="50"/>
    </row>
    <row r="82" spans="1:40" ht="18" customHeight="1" x14ac:dyDescent="0.25">
      <c r="A82" s="186"/>
      <c r="B82" s="186"/>
      <c r="C82" s="187"/>
      <c r="D82" s="186"/>
      <c r="E82" s="197"/>
      <c r="F82" s="197"/>
      <c r="G82" s="210"/>
      <c r="H82" s="190"/>
      <c r="I82" s="190"/>
      <c r="J82" s="190"/>
      <c r="K82" s="27">
        <f t="shared" si="21"/>
        <v>0</v>
      </c>
      <c r="L82" s="28">
        <f t="shared" si="16"/>
        <v>-55355</v>
      </c>
      <c r="M82" s="148"/>
      <c r="N82" s="810"/>
      <c r="O82" s="237" t="e">
        <f>+K82/$N$81</f>
        <v>#DIV/0!</v>
      </c>
      <c r="P82" s="171"/>
      <c r="Q82" s="31">
        <f>IF($P$81=0,0,(-($P$81*O82)+K82)-K82)</f>
        <v>0</v>
      </c>
      <c r="R82" s="31"/>
      <c r="S82" s="28">
        <f t="shared" si="17"/>
        <v>0</v>
      </c>
      <c r="T82" s="28">
        <f t="shared" si="20"/>
        <v>0</v>
      </c>
      <c r="U82" s="28">
        <f t="shared" si="18"/>
        <v>0</v>
      </c>
      <c r="V82" s="28">
        <f t="shared" si="19"/>
        <v>0</v>
      </c>
      <c r="W82" s="31">
        <f t="shared" si="11"/>
        <v>0</v>
      </c>
      <c r="X82" s="211"/>
      <c r="Y82" s="213"/>
      <c r="Z82" s="232"/>
      <c r="AA82" s="213"/>
      <c r="AB82" s="213"/>
      <c r="AC82" s="213"/>
      <c r="AD82" s="213"/>
      <c r="AE82" s="233"/>
      <c r="AF82" s="233"/>
      <c r="AG82" s="213"/>
      <c r="AK82" s="456" t="s">
        <v>271</v>
      </c>
      <c r="AL82" s="236"/>
      <c r="AM82" s="50"/>
    </row>
    <row r="83" spans="1:40" s="213" customFormat="1" ht="18" customHeight="1" x14ac:dyDescent="0.25">
      <c r="A83" s="186"/>
      <c r="B83" s="186"/>
      <c r="C83" s="187"/>
      <c r="D83" s="186"/>
      <c r="E83" s="197"/>
      <c r="F83" s="197"/>
      <c r="G83" s="210"/>
      <c r="H83" s="190"/>
      <c r="I83" s="190"/>
      <c r="J83" s="190"/>
      <c r="K83" s="27">
        <f t="shared" si="21"/>
        <v>0</v>
      </c>
      <c r="L83" s="28">
        <f t="shared" si="16"/>
        <v>-55355</v>
      </c>
      <c r="M83" s="148"/>
      <c r="N83" s="810"/>
      <c r="O83" s="237" t="e">
        <f>+K83/$N$81</f>
        <v>#DIV/0!</v>
      </c>
      <c r="P83" s="171"/>
      <c r="Q83" s="31">
        <f>IF($P$81=0,0,(-($P$81*O83)+K83)-K83)</f>
        <v>0</v>
      </c>
      <c r="R83" s="31"/>
      <c r="S83" s="28">
        <f t="shared" si="17"/>
        <v>0</v>
      </c>
      <c r="T83" s="28">
        <f t="shared" si="20"/>
        <v>0</v>
      </c>
      <c r="U83" s="28">
        <f t="shared" si="18"/>
        <v>0</v>
      </c>
      <c r="V83" s="28">
        <f t="shared" si="19"/>
        <v>0</v>
      </c>
      <c r="W83" s="31">
        <f t="shared" si="11"/>
        <v>0</v>
      </c>
      <c r="X83" s="211"/>
      <c r="Z83" s="232"/>
      <c r="AF83" s="233"/>
      <c r="AH83" s="20"/>
      <c r="AI83" s="20"/>
    </row>
    <row r="84" spans="1:40" ht="18" customHeight="1" x14ac:dyDescent="0.25">
      <c r="A84" s="186"/>
      <c r="B84" s="186"/>
      <c r="C84" s="187"/>
      <c r="D84" s="186"/>
      <c r="E84" s="197"/>
      <c r="F84" s="197"/>
      <c r="G84" s="198"/>
      <c r="H84" s="190"/>
      <c r="I84" s="190"/>
      <c r="J84" s="190"/>
      <c r="K84" s="27">
        <f t="shared" si="21"/>
        <v>0</v>
      </c>
      <c r="L84" s="28">
        <f t="shared" si="16"/>
        <v>-55355</v>
      </c>
      <c r="M84" s="234"/>
      <c r="N84" s="810"/>
      <c r="O84" s="237" t="e">
        <f>+K84/$N$81</f>
        <v>#DIV/0!</v>
      </c>
      <c r="P84" s="179"/>
      <c r="Q84" s="31">
        <f>IF($P$81=0,0,(-($P$81*O84)+K84)-K84)</f>
        <v>0</v>
      </c>
      <c r="R84" s="31"/>
      <c r="S84" s="28">
        <f t="shared" si="17"/>
        <v>0</v>
      </c>
      <c r="T84" s="28">
        <f t="shared" si="20"/>
        <v>0</v>
      </c>
      <c r="U84" s="28">
        <f t="shared" si="18"/>
        <v>0</v>
      </c>
      <c r="V84" s="28">
        <f t="shared" si="19"/>
        <v>0</v>
      </c>
      <c r="W84" s="31">
        <f t="shared" si="11"/>
        <v>0</v>
      </c>
      <c r="X84" s="239">
        <f>+V84-7000</f>
        <v>-7000</v>
      </c>
      <c r="Y84" s="329" t="s">
        <v>171</v>
      </c>
      <c r="Z84" s="13"/>
      <c r="AA84" s="119"/>
      <c r="AB84" s="240"/>
      <c r="AC84" s="206"/>
      <c r="AD84" s="206"/>
      <c r="AH84" s="213"/>
    </row>
    <row r="85" spans="1:40" ht="15.75" customHeight="1" x14ac:dyDescent="0.25">
      <c r="A85" s="339" t="s">
        <v>180</v>
      </c>
      <c r="B85" s="186"/>
      <c r="C85" s="187"/>
      <c r="D85" s="186"/>
      <c r="E85" s="197"/>
      <c r="F85" s="197"/>
      <c r="G85" s="198"/>
      <c r="H85" s="190"/>
      <c r="I85" s="190"/>
      <c r="J85" s="190"/>
      <c r="K85" s="27">
        <f t="shared" si="21"/>
        <v>0</v>
      </c>
      <c r="L85" s="28">
        <f t="shared" si="16"/>
        <v>-55355</v>
      </c>
      <c r="M85" s="810"/>
      <c r="N85" s="810">
        <f>SUM(K85:K93)</f>
        <v>0</v>
      </c>
      <c r="O85" s="30" t="e">
        <f>+K85/$N$85</f>
        <v>#DIV/0!</v>
      </c>
      <c r="P85" s="238"/>
      <c r="Q85" s="31">
        <f>IF($P$85=0,0,(-($P$85*O85)+K85)-K85)</f>
        <v>0</v>
      </c>
      <c r="R85" s="31"/>
      <c r="S85" s="28">
        <f t="shared" si="17"/>
        <v>0</v>
      </c>
      <c r="T85" s="28">
        <f t="shared" si="20"/>
        <v>0</v>
      </c>
      <c r="U85" s="28">
        <f t="shared" si="18"/>
        <v>0</v>
      </c>
      <c r="V85" s="28">
        <f t="shared" si="19"/>
        <v>0</v>
      </c>
      <c r="W85" s="31">
        <f t="shared" si="11"/>
        <v>0</v>
      </c>
      <c r="Y85" s="330" t="s">
        <v>172</v>
      </c>
      <c r="Z85" s="331" t="s">
        <v>173</v>
      </c>
      <c r="AA85" s="332" t="s">
        <v>17</v>
      </c>
      <c r="AB85" s="333" t="s">
        <v>174</v>
      </c>
      <c r="AC85" s="334" t="s">
        <v>175</v>
      </c>
      <c r="AD85" s="330" t="s">
        <v>176</v>
      </c>
      <c r="AE85" s="335" t="s">
        <v>7</v>
      </c>
      <c r="AF85" s="333" t="s">
        <v>174</v>
      </c>
      <c r="AG85" s="334" t="s">
        <v>175</v>
      </c>
      <c r="AH85" s="330" t="s">
        <v>176</v>
      </c>
      <c r="AI85" s="213"/>
    </row>
    <row r="86" spans="1:40" ht="15.75" customHeight="1" x14ac:dyDescent="0.25">
      <c r="A86" s="344"/>
      <c r="B86" s="186"/>
      <c r="C86" s="187"/>
      <c r="D86" s="186"/>
      <c r="E86" s="197"/>
      <c r="F86" s="197"/>
      <c r="G86" s="198"/>
      <c r="H86" s="190"/>
      <c r="I86" s="190"/>
      <c r="J86" s="190"/>
      <c r="K86" s="27">
        <f t="shared" si="21"/>
        <v>0</v>
      </c>
      <c r="L86" s="28">
        <f t="shared" si="16"/>
        <v>-55355</v>
      </c>
      <c r="M86" s="810"/>
      <c r="N86" s="810"/>
      <c r="O86" s="30" t="e">
        <f t="shared" ref="O86:O93" si="24">+K86/$N$85</f>
        <v>#DIV/0!</v>
      </c>
      <c r="P86" s="171"/>
      <c r="Q86" s="31">
        <f t="shared" ref="Q86:Q103" si="25">IF($P$85=0,0,(-($P$85*O86)+K86)-K86)</f>
        <v>0</v>
      </c>
      <c r="R86" s="31"/>
      <c r="S86" s="28">
        <f t="shared" si="17"/>
        <v>0</v>
      </c>
      <c r="T86" s="28">
        <f t="shared" si="20"/>
        <v>0</v>
      </c>
      <c r="U86" s="28">
        <f t="shared" si="18"/>
        <v>0</v>
      </c>
      <c r="V86" s="28">
        <f t="shared" si="19"/>
        <v>0</v>
      </c>
      <c r="W86" s="31">
        <f t="shared" si="11"/>
        <v>0</v>
      </c>
      <c r="Y86" s="14" t="s">
        <v>177</v>
      </c>
      <c r="Z86" s="336" t="s">
        <v>178</v>
      </c>
      <c r="AA86" s="337">
        <f>+AA81</f>
        <v>0</v>
      </c>
      <c r="AB86" s="337">
        <f>AA87-AA86</f>
        <v>272189.72916666669</v>
      </c>
      <c r="AC86" s="42">
        <f>AB86*24/5.5</f>
        <v>1187737</v>
      </c>
      <c r="AD86" s="338">
        <f>AC86+353111</f>
        <v>1540848</v>
      </c>
      <c r="AE86" s="42">
        <v>54327</v>
      </c>
      <c r="AF86" s="338">
        <f>AE87-AE86</f>
        <v>-7891.2291666666642</v>
      </c>
      <c r="AG86" s="338">
        <f>AF86*24/5.5</f>
        <v>-34434.454545454537</v>
      </c>
      <c r="AH86" s="338">
        <f>60241+AG86</f>
        <v>25806.545454545463</v>
      </c>
    </row>
    <row r="87" spans="1:40" ht="15.75" customHeight="1" x14ac:dyDescent="0.25">
      <c r="A87" s="344"/>
      <c r="B87" s="186"/>
      <c r="C87" s="187"/>
      <c r="D87" s="186"/>
      <c r="E87" s="197"/>
      <c r="F87" s="197"/>
      <c r="G87" s="198"/>
      <c r="H87" s="190"/>
      <c r="I87" s="190"/>
      <c r="J87" s="190"/>
      <c r="K87" s="27">
        <f t="shared" si="21"/>
        <v>0</v>
      </c>
      <c r="L87" s="28">
        <f t="shared" si="16"/>
        <v>-55355</v>
      </c>
      <c r="M87" s="810"/>
      <c r="N87" s="810"/>
      <c r="O87" s="30" t="e">
        <f t="shared" si="24"/>
        <v>#DIV/0!</v>
      </c>
      <c r="P87" s="171"/>
      <c r="Q87" s="31">
        <f t="shared" si="25"/>
        <v>0</v>
      </c>
      <c r="R87" s="31"/>
      <c r="S87" s="28">
        <f t="shared" si="17"/>
        <v>0</v>
      </c>
      <c r="T87" s="28">
        <f t="shared" si="20"/>
        <v>0</v>
      </c>
      <c r="U87" s="28">
        <f t="shared" si="18"/>
        <v>0</v>
      </c>
      <c r="V87" s="28">
        <f t="shared" si="19"/>
        <v>0</v>
      </c>
      <c r="W87" s="31">
        <f t="shared" si="11"/>
        <v>0</v>
      </c>
      <c r="Y87" s="337">
        <f>8000*18.5/24</f>
        <v>6166.666666666667</v>
      </c>
      <c r="Z87" s="336" t="s">
        <v>179</v>
      </c>
      <c r="AA87" s="338">
        <f>353111*18.5/24</f>
        <v>272189.72916666669</v>
      </c>
      <c r="AB87" s="337"/>
      <c r="AC87" s="42"/>
      <c r="AD87" s="42">
        <f>AD86/24*5.5</f>
        <v>353111</v>
      </c>
      <c r="AE87" s="42">
        <f>60241*18.5/24</f>
        <v>46435.770833333336</v>
      </c>
      <c r="AF87" s="14"/>
      <c r="AG87" s="14"/>
      <c r="AH87" s="42">
        <f>AH86/24*5.5</f>
        <v>5914.0000000000027</v>
      </c>
      <c r="AJ87" s="213"/>
      <c r="AK87" s="213"/>
      <c r="AL87" s="213"/>
    </row>
    <row r="88" spans="1:40" ht="27" customHeight="1" x14ac:dyDescent="0.25">
      <c r="A88" s="344"/>
      <c r="B88" s="186"/>
      <c r="C88" s="187"/>
      <c r="D88" s="186"/>
      <c r="E88" s="197"/>
      <c r="F88" s="197"/>
      <c r="G88" s="198"/>
      <c r="H88" s="190"/>
      <c r="I88" s="190"/>
      <c r="J88" s="190"/>
      <c r="K88" s="27">
        <f t="shared" si="21"/>
        <v>0</v>
      </c>
      <c r="L88" s="28">
        <f t="shared" si="16"/>
        <v>-55355</v>
      </c>
      <c r="M88" s="810"/>
      <c r="N88" s="810"/>
      <c r="O88" s="30" t="e">
        <f t="shared" si="24"/>
        <v>#DIV/0!</v>
      </c>
      <c r="P88" s="171"/>
      <c r="Q88" s="31">
        <f t="shared" si="25"/>
        <v>0</v>
      </c>
      <c r="R88" s="31"/>
      <c r="S88" s="28">
        <f t="shared" si="17"/>
        <v>0</v>
      </c>
      <c r="T88" s="28">
        <f t="shared" si="20"/>
        <v>0</v>
      </c>
      <c r="U88" s="28">
        <f t="shared" si="18"/>
        <v>0</v>
      </c>
      <c r="V88" s="28">
        <f t="shared" si="19"/>
        <v>0</v>
      </c>
      <c r="W88" s="31">
        <f t="shared" si="11"/>
        <v>0</v>
      </c>
      <c r="Y88" s="340"/>
      <c r="Z88" s="336" t="s">
        <v>181</v>
      </c>
      <c r="AA88" s="337"/>
      <c r="AB88" s="337"/>
      <c r="AC88" s="341"/>
      <c r="AD88" s="342">
        <f>AD87+AA86</f>
        <v>353111</v>
      </c>
      <c r="AE88" s="14"/>
      <c r="AF88" s="14"/>
      <c r="AG88" s="14"/>
      <c r="AH88" s="343">
        <f>AH87+AE86</f>
        <v>60241</v>
      </c>
      <c r="AJ88" s="348" t="s">
        <v>277</v>
      </c>
      <c r="AK88" s="349" t="s">
        <v>276</v>
      </c>
      <c r="AL88" s="213"/>
      <c r="AM88" s="271" t="s">
        <v>153</v>
      </c>
      <c r="AN88" s="272" t="s">
        <v>21</v>
      </c>
    </row>
    <row r="89" spans="1:40" ht="16.5" customHeight="1" x14ac:dyDescent="0.25">
      <c r="A89" s="344"/>
      <c r="B89" s="186"/>
      <c r="C89" s="187"/>
      <c r="D89" s="186"/>
      <c r="E89" s="197"/>
      <c r="F89" s="197"/>
      <c r="G89" s="198"/>
      <c r="H89" s="190"/>
      <c r="I89" s="190"/>
      <c r="J89" s="190"/>
      <c r="K89" s="27">
        <f t="shared" si="21"/>
        <v>0</v>
      </c>
      <c r="L89" s="28">
        <f t="shared" si="16"/>
        <v>-55355</v>
      </c>
      <c r="M89" s="810"/>
      <c r="N89" s="810"/>
      <c r="O89" s="30" t="e">
        <f t="shared" si="24"/>
        <v>#DIV/0!</v>
      </c>
      <c r="P89" s="171"/>
      <c r="Q89" s="31">
        <f t="shared" si="25"/>
        <v>0</v>
      </c>
      <c r="R89" s="31"/>
      <c r="S89" s="28">
        <f t="shared" si="17"/>
        <v>0</v>
      </c>
      <c r="T89" s="28">
        <f t="shared" si="20"/>
        <v>0</v>
      </c>
      <c r="U89" s="28">
        <f t="shared" si="18"/>
        <v>0</v>
      </c>
      <c r="V89" s="28">
        <f t="shared" si="19"/>
        <v>0</v>
      </c>
      <c r="W89" s="31">
        <f t="shared" ref="W89:W103" si="26">+W88-V89</f>
        <v>0</v>
      </c>
      <c r="AG89" s="35"/>
      <c r="AH89" s="35"/>
      <c r="AI89" s="213"/>
      <c r="AJ89" s="109" t="s">
        <v>274</v>
      </c>
      <c r="AK89" s="236">
        <v>31895</v>
      </c>
      <c r="AL89" s="213"/>
      <c r="AM89" s="109" t="s">
        <v>132</v>
      </c>
      <c r="AN89" s="236">
        <v>124000</v>
      </c>
    </row>
    <row r="90" spans="1:40" ht="16.5" customHeight="1" thickBot="1" x14ac:dyDescent="0.3">
      <c r="A90" s="344"/>
      <c r="B90" s="186"/>
      <c r="C90" s="187"/>
      <c r="D90" s="186"/>
      <c r="E90" s="197"/>
      <c r="F90" s="197"/>
      <c r="G90" s="198"/>
      <c r="H90" s="190"/>
      <c r="I90" s="190"/>
      <c r="J90" s="190"/>
      <c r="K90" s="27">
        <f t="shared" si="21"/>
        <v>0</v>
      </c>
      <c r="L90" s="28">
        <f t="shared" si="16"/>
        <v>-55355</v>
      </c>
      <c r="M90" s="810"/>
      <c r="N90" s="810"/>
      <c r="O90" s="30" t="e">
        <f t="shared" si="24"/>
        <v>#DIV/0!</v>
      </c>
      <c r="P90" s="171"/>
      <c r="Q90" s="31">
        <f t="shared" si="25"/>
        <v>0</v>
      </c>
      <c r="R90" s="31"/>
      <c r="S90" s="28">
        <f t="shared" si="17"/>
        <v>0</v>
      </c>
      <c r="T90" s="28">
        <f t="shared" si="20"/>
        <v>0</v>
      </c>
      <c r="U90" s="28">
        <f t="shared" si="18"/>
        <v>0</v>
      </c>
      <c r="V90" s="28">
        <f t="shared" si="19"/>
        <v>0</v>
      </c>
      <c r="W90" s="31">
        <f t="shared" si="26"/>
        <v>0</v>
      </c>
      <c r="Y90" s="345"/>
      <c r="Z90" s="346"/>
      <c r="AA90" s="347"/>
      <c r="AB90" s="345"/>
      <c r="AC90" s="345"/>
      <c r="AD90" s="345"/>
      <c r="AE90" s="345"/>
      <c r="AF90" s="35"/>
      <c r="AG90" s="57"/>
      <c r="AH90" s="35"/>
      <c r="AI90" s="213"/>
      <c r="AJ90" s="109" t="s">
        <v>275</v>
      </c>
      <c r="AK90" s="236">
        <v>64493</v>
      </c>
      <c r="AL90" s="213"/>
      <c r="AM90" s="109" t="s">
        <v>133</v>
      </c>
      <c r="AN90" s="236">
        <v>120000</v>
      </c>
    </row>
    <row r="91" spans="1:40" ht="16.5" customHeight="1" thickBot="1" x14ac:dyDescent="0.3">
      <c r="A91" s="344"/>
      <c r="B91" s="186"/>
      <c r="C91" s="187"/>
      <c r="D91" s="186"/>
      <c r="E91" s="197"/>
      <c r="F91" s="197"/>
      <c r="G91" s="198"/>
      <c r="H91" s="190"/>
      <c r="I91" s="190"/>
      <c r="J91" s="190"/>
      <c r="K91" s="27">
        <f t="shared" si="21"/>
        <v>0</v>
      </c>
      <c r="L91" s="28">
        <f t="shared" si="16"/>
        <v>-55355</v>
      </c>
      <c r="M91" s="810"/>
      <c r="N91" s="810"/>
      <c r="O91" s="30" t="e">
        <f t="shared" si="24"/>
        <v>#DIV/0!</v>
      </c>
      <c r="P91" s="171"/>
      <c r="Q91" s="31">
        <f t="shared" si="25"/>
        <v>0</v>
      </c>
      <c r="R91" s="31"/>
      <c r="S91" s="28">
        <f t="shared" si="17"/>
        <v>0</v>
      </c>
      <c r="T91" s="28">
        <f t="shared" si="20"/>
        <v>0</v>
      </c>
      <c r="U91" s="28">
        <f t="shared" si="18"/>
        <v>0</v>
      </c>
      <c r="V91" s="28">
        <f t="shared" si="19"/>
        <v>0</v>
      </c>
      <c r="W91" s="31">
        <f t="shared" si="26"/>
        <v>0</v>
      </c>
      <c r="Y91" s="486" t="s">
        <v>279</v>
      </c>
      <c r="Z91" s="486" t="s">
        <v>280</v>
      </c>
      <c r="AA91" s="487" t="s">
        <v>281</v>
      </c>
      <c r="AB91" s="488" t="s">
        <v>282</v>
      </c>
      <c r="AC91" s="345"/>
      <c r="AD91" s="350"/>
      <c r="AE91" s="149"/>
      <c r="AF91" s="351"/>
      <c r="AG91" s="149"/>
      <c r="AH91" s="149"/>
      <c r="AI91" s="213"/>
      <c r="AJ91" s="354" t="s">
        <v>135</v>
      </c>
      <c r="AK91" s="355">
        <v>53395</v>
      </c>
      <c r="AL91" s="213"/>
      <c r="AM91" s="109" t="s">
        <v>134</v>
      </c>
      <c r="AN91" s="236">
        <v>124000</v>
      </c>
    </row>
    <row r="92" spans="1:40" ht="16.5" customHeight="1" x14ac:dyDescent="0.25">
      <c r="A92" s="344"/>
      <c r="B92" s="186"/>
      <c r="C92" s="187"/>
      <c r="D92" s="186"/>
      <c r="E92" s="197"/>
      <c r="F92" s="197"/>
      <c r="G92" s="198"/>
      <c r="H92" s="190"/>
      <c r="I92" s="190"/>
      <c r="J92" s="190"/>
      <c r="K92" s="27">
        <f t="shared" si="21"/>
        <v>0</v>
      </c>
      <c r="L92" s="28">
        <f t="shared" si="16"/>
        <v>-55355</v>
      </c>
      <c r="M92" s="810"/>
      <c r="N92" s="810"/>
      <c r="O92" s="30" t="e">
        <f t="shared" si="24"/>
        <v>#DIV/0!</v>
      </c>
      <c r="P92" s="171"/>
      <c r="Q92" s="31">
        <f t="shared" si="25"/>
        <v>0</v>
      </c>
      <c r="R92" s="31"/>
      <c r="S92" s="28">
        <f t="shared" si="17"/>
        <v>0</v>
      </c>
      <c r="T92" s="28">
        <f t="shared" si="20"/>
        <v>0</v>
      </c>
      <c r="U92" s="28">
        <f t="shared" si="18"/>
        <v>0</v>
      </c>
      <c r="V92" s="28">
        <f t="shared" si="19"/>
        <v>0</v>
      </c>
      <c r="W92" s="31">
        <f t="shared" si="26"/>
        <v>0</v>
      </c>
      <c r="Y92" s="823" t="s">
        <v>158</v>
      </c>
      <c r="Z92" s="489" t="s">
        <v>283</v>
      </c>
      <c r="AA92" s="490" t="e">
        <f>IF(C2:D57="Regulado",VLOOKUP(A2,[1]HeatRate!$A$1:$D$37,4,FALSE),"")</f>
        <v>#VALUE!</v>
      </c>
      <c r="AB92" s="491"/>
      <c r="AC92" s="345"/>
      <c r="AD92" s="352"/>
      <c r="AE92" s="35"/>
      <c r="AF92" s="35"/>
      <c r="AG92" s="35"/>
      <c r="AH92" s="35"/>
      <c r="AI92" s="213"/>
      <c r="AJ92" s="109"/>
      <c r="AK92" s="236"/>
      <c r="AL92" s="213"/>
      <c r="AM92" s="241" t="s">
        <v>135</v>
      </c>
      <c r="AN92" s="242">
        <v>123333</v>
      </c>
    </row>
    <row r="93" spans="1:40" ht="16.5" customHeight="1" x14ac:dyDescent="0.25">
      <c r="A93" s="344"/>
      <c r="B93" s="186"/>
      <c r="C93" s="187"/>
      <c r="D93" s="186"/>
      <c r="E93" s="197"/>
      <c r="F93" s="197"/>
      <c r="G93" s="198"/>
      <c r="H93" s="190"/>
      <c r="I93" s="190"/>
      <c r="J93" s="190"/>
      <c r="K93" s="27">
        <f t="shared" si="21"/>
        <v>0</v>
      </c>
      <c r="L93" s="28">
        <f t="shared" si="16"/>
        <v>-55355</v>
      </c>
      <c r="M93" s="810"/>
      <c r="N93" s="810"/>
      <c r="O93" s="30" t="e">
        <f t="shared" si="24"/>
        <v>#DIV/0!</v>
      </c>
      <c r="P93" s="179"/>
      <c r="Q93" s="31">
        <f t="shared" si="25"/>
        <v>0</v>
      </c>
      <c r="R93" s="31"/>
      <c r="S93" s="28">
        <f t="shared" si="17"/>
        <v>0</v>
      </c>
      <c r="T93" s="28">
        <f t="shared" si="20"/>
        <v>0</v>
      </c>
      <c r="U93" s="28">
        <f t="shared" si="18"/>
        <v>0</v>
      </c>
      <c r="V93" s="28">
        <f t="shared" si="19"/>
        <v>0</v>
      </c>
      <c r="W93" s="31">
        <f t="shared" si="26"/>
        <v>0</v>
      </c>
      <c r="Y93" s="824"/>
      <c r="Z93" s="492" t="s">
        <v>284</v>
      </c>
      <c r="AA93" s="493"/>
      <c r="AB93" s="494"/>
      <c r="AC93" s="345"/>
      <c r="AD93" s="353"/>
      <c r="AE93" s="35"/>
      <c r="AF93" s="35"/>
      <c r="AG93" s="35"/>
      <c r="AH93" s="35"/>
      <c r="AI93" s="213"/>
      <c r="AJ93" s="109"/>
      <c r="AK93" s="236"/>
      <c r="AM93" s="109"/>
      <c r="AN93" s="236"/>
    </row>
    <row r="94" spans="1:40" ht="16.5" customHeight="1" x14ac:dyDescent="0.25">
      <c r="A94" s="344"/>
      <c r="B94" s="186"/>
      <c r="C94" s="187"/>
      <c r="D94" s="186"/>
      <c r="E94" s="197"/>
      <c r="F94" s="197"/>
      <c r="G94" s="198"/>
      <c r="H94" s="190"/>
      <c r="I94" s="190"/>
      <c r="J94" s="190"/>
      <c r="K94" s="27">
        <f t="shared" si="21"/>
        <v>0</v>
      </c>
      <c r="L94" s="28">
        <f t="shared" si="16"/>
        <v>-55355</v>
      </c>
      <c r="M94" s="810"/>
      <c r="N94" s="810">
        <f>SUM(K94:K103)</f>
        <v>0</v>
      </c>
      <c r="O94" s="30">
        <f>IF($N$94=0,0,+K94/$N$94)</f>
        <v>0</v>
      </c>
      <c r="P94" s="238"/>
      <c r="Q94" s="31">
        <f t="shared" si="25"/>
        <v>0</v>
      </c>
      <c r="R94" s="31"/>
      <c r="S94" s="28">
        <f t="shared" si="17"/>
        <v>0</v>
      </c>
      <c r="T94" s="28">
        <f t="shared" si="20"/>
        <v>0</v>
      </c>
      <c r="U94" s="28">
        <f t="shared" si="18"/>
        <v>0</v>
      </c>
      <c r="V94" s="28">
        <f t="shared" si="19"/>
        <v>0</v>
      </c>
      <c r="W94" s="31">
        <f t="shared" si="26"/>
        <v>0</v>
      </c>
      <c r="Y94" s="824"/>
      <c r="Z94" s="492" t="s">
        <v>80</v>
      </c>
      <c r="AA94" s="493"/>
      <c r="AB94" s="494"/>
      <c r="AC94" s="345"/>
      <c r="AD94" s="35"/>
      <c r="AE94" s="35"/>
      <c r="AF94" s="35"/>
      <c r="AG94" s="35"/>
      <c r="AH94" s="35"/>
      <c r="AI94" s="213"/>
      <c r="AJ94" s="109"/>
      <c r="AK94" s="236"/>
      <c r="AM94" s="243"/>
      <c r="AN94" s="244"/>
    </row>
    <row r="95" spans="1:40" ht="16.5" customHeight="1" x14ac:dyDescent="0.25">
      <c r="A95" s="344"/>
      <c r="B95" s="186"/>
      <c r="C95" s="187"/>
      <c r="D95" s="186"/>
      <c r="E95" s="197"/>
      <c r="F95" s="197"/>
      <c r="G95" s="198"/>
      <c r="H95" s="190"/>
      <c r="I95" s="190"/>
      <c r="J95" s="190"/>
      <c r="K95" s="27">
        <f t="shared" si="21"/>
        <v>0</v>
      </c>
      <c r="L95" s="28">
        <f t="shared" si="16"/>
        <v>-55355</v>
      </c>
      <c r="M95" s="810"/>
      <c r="N95" s="810"/>
      <c r="O95" s="30">
        <f t="shared" ref="O95:O103" si="27">IF($N$94=0,0,+K95/$N$94)</f>
        <v>0</v>
      </c>
      <c r="P95" s="171"/>
      <c r="Q95" s="31">
        <f t="shared" si="25"/>
        <v>0</v>
      </c>
      <c r="R95" s="31"/>
      <c r="S95" s="28">
        <f t="shared" si="17"/>
        <v>0</v>
      </c>
      <c r="T95" s="28">
        <f t="shared" si="20"/>
        <v>0</v>
      </c>
      <c r="U95" s="28">
        <f t="shared" si="18"/>
        <v>0</v>
      </c>
      <c r="V95" s="28">
        <f t="shared" si="19"/>
        <v>0</v>
      </c>
      <c r="W95" s="31">
        <f t="shared" si="26"/>
        <v>0</v>
      </c>
      <c r="Y95" s="824"/>
      <c r="Z95" s="492" t="s">
        <v>285</v>
      </c>
      <c r="AA95" s="493"/>
      <c r="AB95" s="494"/>
      <c r="AC95" s="345"/>
      <c r="AD95" s="35"/>
      <c r="AE95" s="35"/>
      <c r="AF95" s="35"/>
      <c r="AG95" s="356"/>
      <c r="AH95" s="35"/>
      <c r="AJ95" s="109"/>
      <c r="AK95" s="236"/>
      <c r="AM95" s="109"/>
      <c r="AN95" s="236"/>
    </row>
    <row r="96" spans="1:40" ht="16.5" customHeight="1" thickBot="1" x14ac:dyDescent="0.3">
      <c r="A96" s="344"/>
      <c r="B96" s="186"/>
      <c r="C96" s="187"/>
      <c r="D96" s="186"/>
      <c r="E96" s="197"/>
      <c r="F96" s="197"/>
      <c r="G96" s="198"/>
      <c r="H96" s="190"/>
      <c r="I96" s="190"/>
      <c r="J96" s="190"/>
      <c r="K96" s="27">
        <f t="shared" si="21"/>
        <v>0</v>
      </c>
      <c r="L96" s="28">
        <f t="shared" si="16"/>
        <v>-55355</v>
      </c>
      <c r="M96" s="810"/>
      <c r="N96" s="810"/>
      <c r="O96" s="30">
        <f t="shared" si="27"/>
        <v>0</v>
      </c>
      <c r="P96" s="171"/>
      <c r="Q96" s="31">
        <f t="shared" si="25"/>
        <v>0</v>
      </c>
      <c r="R96" s="31"/>
      <c r="S96" s="28">
        <f t="shared" si="17"/>
        <v>0</v>
      </c>
      <c r="T96" s="28">
        <f t="shared" si="20"/>
        <v>0</v>
      </c>
      <c r="U96" s="28">
        <f t="shared" si="18"/>
        <v>0</v>
      </c>
      <c r="V96" s="28">
        <f t="shared" si="19"/>
        <v>0</v>
      </c>
      <c r="W96" s="31">
        <f t="shared" si="26"/>
        <v>0</v>
      </c>
      <c r="Y96" s="824"/>
      <c r="Z96" s="495" t="s">
        <v>286</v>
      </c>
      <c r="AA96" s="496"/>
      <c r="AB96" s="497"/>
      <c r="AC96" s="345"/>
      <c r="AD96" s="35"/>
      <c r="AE96" s="35"/>
      <c r="AF96" s="353"/>
      <c r="AG96" s="35"/>
      <c r="AH96" s="35"/>
      <c r="AJ96" s="243"/>
      <c r="AK96" s="244"/>
      <c r="AM96" s="243"/>
      <c r="AN96" s="244"/>
    </row>
    <row r="97" spans="1:40" ht="16.5" customHeight="1" x14ac:dyDescent="0.25">
      <c r="A97" s="344"/>
      <c r="B97" s="186"/>
      <c r="C97" s="187"/>
      <c r="D97" s="186"/>
      <c r="E97" s="197"/>
      <c r="F97" s="197"/>
      <c r="G97" s="198"/>
      <c r="H97" s="190"/>
      <c r="I97" s="190"/>
      <c r="J97" s="190"/>
      <c r="K97" s="27">
        <f t="shared" si="21"/>
        <v>0</v>
      </c>
      <c r="L97" s="28">
        <f t="shared" si="16"/>
        <v>-55355</v>
      </c>
      <c r="M97" s="810"/>
      <c r="N97" s="810"/>
      <c r="O97" s="30">
        <f t="shared" si="27"/>
        <v>0</v>
      </c>
      <c r="P97" s="171"/>
      <c r="Q97" s="31">
        <f t="shared" si="25"/>
        <v>0</v>
      </c>
      <c r="R97" s="31"/>
      <c r="S97" s="28">
        <f t="shared" si="17"/>
        <v>0</v>
      </c>
      <c r="T97" s="28">
        <f t="shared" si="20"/>
        <v>0</v>
      </c>
      <c r="U97" s="28">
        <f t="shared" si="18"/>
        <v>0</v>
      </c>
      <c r="V97" s="28">
        <f t="shared" si="19"/>
        <v>0</v>
      </c>
      <c r="W97" s="31">
        <f t="shared" si="26"/>
        <v>0</v>
      </c>
      <c r="Y97" s="825" t="s">
        <v>154</v>
      </c>
      <c r="Z97" s="489" t="s">
        <v>283</v>
      </c>
      <c r="AA97" s="498"/>
      <c r="AB97" s="499"/>
      <c r="AC97" s="345"/>
      <c r="AD97" s="35"/>
      <c r="AE97" s="35"/>
      <c r="AF97" s="353"/>
      <c r="AG97" s="35"/>
      <c r="AH97" s="35"/>
      <c r="AJ97" s="109"/>
      <c r="AK97" s="236"/>
    </row>
    <row r="98" spans="1:40" ht="16.5" customHeight="1" x14ac:dyDescent="0.25">
      <c r="A98" s="344"/>
      <c r="B98" s="186"/>
      <c r="C98" s="187"/>
      <c r="D98" s="186"/>
      <c r="E98" s="197"/>
      <c r="F98" s="197"/>
      <c r="G98" s="198"/>
      <c r="H98" s="190"/>
      <c r="I98" s="190"/>
      <c r="J98" s="190"/>
      <c r="K98" s="27">
        <f t="shared" si="21"/>
        <v>0</v>
      </c>
      <c r="L98" s="28">
        <f t="shared" si="16"/>
        <v>-55355</v>
      </c>
      <c r="M98" s="810"/>
      <c r="N98" s="810"/>
      <c r="O98" s="30">
        <f t="shared" si="27"/>
        <v>0</v>
      </c>
      <c r="P98" s="171"/>
      <c r="Q98" s="31">
        <f t="shared" si="25"/>
        <v>0</v>
      </c>
      <c r="R98" s="31"/>
      <c r="S98" s="28">
        <f t="shared" si="17"/>
        <v>0</v>
      </c>
      <c r="T98" s="28">
        <f t="shared" si="20"/>
        <v>0</v>
      </c>
      <c r="U98" s="28">
        <f t="shared" si="18"/>
        <v>0</v>
      </c>
      <c r="V98" s="28">
        <f t="shared" si="19"/>
        <v>0</v>
      </c>
      <c r="W98" s="31">
        <f t="shared" si="26"/>
        <v>0</v>
      </c>
      <c r="Y98" s="826"/>
      <c r="Z98" s="492" t="s">
        <v>284</v>
      </c>
      <c r="AA98" s="500"/>
      <c r="AB98" s="501"/>
      <c r="AC98" s="345"/>
      <c r="AD98" s="35"/>
      <c r="AE98" s="35"/>
      <c r="AF98" s="353"/>
      <c r="AG98" s="35"/>
      <c r="AH98" s="35"/>
      <c r="AJ98" s="109"/>
      <c r="AK98" s="236"/>
    </row>
    <row r="99" spans="1:40" ht="16.5" customHeight="1" x14ac:dyDescent="0.25">
      <c r="A99" s="344"/>
      <c r="B99" s="186"/>
      <c r="C99" s="187"/>
      <c r="D99" s="186"/>
      <c r="E99" s="197"/>
      <c r="F99" s="197"/>
      <c r="G99" s="198"/>
      <c r="H99" s="190"/>
      <c r="I99" s="190"/>
      <c r="J99" s="190"/>
      <c r="K99" s="27">
        <f t="shared" si="21"/>
        <v>0</v>
      </c>
      <c r="L99" s="28">
        <f t="shared" si="16"/>
        <v>-55355</v>
      </c>
      <c r="M99" s="810"/>
      <c r="N99" s="810"/>
      <c r="O99" s="30">
        <f t="shared" si="27"/>
        <v>0</v>
      </c>
      <c r="P99" s="171"/>
      <c r="Q99" s="31">
        <f t="shared" si="25"/>
        <v>0</v>
      </c>
      <c r="R99" s="31"/>
      <c r="S99" s="28">
        <f t="shared" si="17"/>
        <v>0</v>
      </c>
      <c r="T99" s="28">
        <f t="shared" si="20"/>
        <v>0</v>
      </c>
      <c r="U99" s="28">
        <f t="shared" si="18"/>
        <v>0</v>
      </c>
      <c r="V99" s="28">
        <f t="shared" si="19"/>
        <v>0</v>
      </c>
      <c r="W99" s="31">
        <f t="shared" si="26"/>
        <v>0</v>
      </c>
      <c r="Y99" s="826"/>
      <c r="Z99" s="492" t="s">
        <v>80</v>
      </c>
      <c r="AA99" s="500"/>
      <c r="AB99" s="501"/>
      <c r="AC99" s="345"/>
      <c r="AD99" s="35"/>
      <c r="AE99" s="35"/>
      <c r="AF99" s="353"/>
      <c r="AG99" s="35"/>
      <c r="AH99" s="35"/>
    </row>
    <row r="100" spans="1:40" ht="16.5" customHeight="1" x14ac:dyDescent="0.25">
      <c r="A100" s="344"/>
      <c r="B100" s="186"/>
      <c r="C100" s="187"/>
      <c r="D100" s="186"/>
      <c r="E100" s="197"/>
      <c r="F100" s="197"/>
      <c r="G100" s="198"/>
      <c r="H100" s="190"/>
      <c r="I100" s="190"/>
      <c r="J100" s="190"/>
      <c r="K100" s="27">
        <f t="shared" si="21"/>
        <v>0</v>
      </c>
      <c r="L100" s="28">
        <f t="shared" si="16"/>
        <v>-55355</v>
      </c>
      <c r="M100" s="810"/>
      <c r="N100" s="810"/>
      <c r="O100" s="30">
        <f t="shared" si="27"/>
        <v>0</v>
      </c>
      <c r="P100" s="171"/>
      <c r="Q100" s="31">
        <f t="shared" si="25"/>
        <v>0</v>
      </c>
      <c r="R100" s="31"/>
      <c r="S100" s="28">
        <f t="shared" si="17"/>
        <v>0</v>
      </c>
      <c r="T100" s="28">
        <f t="shared" si="20"/>
        <v>0</v>
      </c>
      <c r="U100" s="28">
        <f t="shared" si="18"/>
        <v>0</v>
      </c>
      <c r="V100" s="28">
        <f t="shared" si="19"/>
        <v>0</v>
      </c>
      <c r="W100" s="31">
        <f t="shared" si="26"/>
        <v>0</v>
      </c>
      <c r="Y100" s="826"/>
      <c r="Z100" s="492" t="s">
        <v>285</v>
      </c>
      <c r="AA100" s="500"/>
      <c r="AB100" s="501"/>
      <c r="AC100" s="345"/>
      <c r="AD100" s="353"/>
      <c r="AE100" s="353"/>
      <c r="AF100" s="353"/>
      <c r="AG100" s="35"/>
      <c r="AH100" s="35"/>
      <c r="AJ100" s="357" t="s">
        <v>136</v>
      </c>
      <c r="AK100" s="358" t="s">
        <v>21</v>
      </c>
    </row>
    <row r="101" spans="1:40" ht="33" customHeight="1" thickBot="1" x14ac:dyDescent="0.3">
      <c r="A101" s="344"/>
      <c r="B101" s="186"/>
      <c r="C101" s="187"/>
      <c r="D101" s="186"/>
      <c r="E101" s="197"/>
      <c r="F101" s="197"/>
      <c r="G101" s="198"/>
      <c r="H101" s="190"/>
      <c r="I101" s="190"/>
      <c r="J101" s="190"/>
      <c r="K101" s="27">
        <f t="shared" si="21"/>
        <v>0</v>
      </c>
      <c r="L101" s="28">
        <f t="shared" si="16"/>
        <v>-55355</v>
      </c>
      <c r="M101" s="810"/>
      <c r="N101" s="810"/>
      <c r="O101" s="30">
        <f t="shared" si="27"/>
        <v>0</v>
      </c>
      <c r="P101" s="171"/>
      <c r="Q101" s="31">
        <f t="shared" si="25"/>
        <v>0</v>
      </c>
      <c r="R101" s="31"/>
      <c r="S101" s="28">
        <f t="shared" si="17"/>
        <v>0</v>
      </c>
      <c r="T101" s="28">
        <f t="shared" si="20"/>
        <v>0</v>
      </c>
      <c r="U101" s="28">
        <f t="shared" si="18"/>
        <v>0</v>
      </c>
      <c r="V101" s="28">
        <f t="shared" si="19"/>
        <v>0</v>
      </c>
      <c r="W101" s="31">
        <f t="shared" si="26"/>
        <v>0</v>
      </c>
      <c r="Y101" s="827"/>
      <c r="Z101" s="492" t="s">
        <v>287</v>
      </c>
      <c r="AA101" s="500"/>
      <c r="AB101" s="501"/>
      <c r="AC101" s="345"/>
      <c r="AD101" s="353"/>
      <c r="AE101" s="353"/>
      <c r="AF101" s="353"/>
      <c r="AG101" s="35"/>
      <c r="AH101" s="35"/>
      <c r="AJ101" s="109" t="s">
        <v>132</v>
      </c>
      <c r="AK101" s="236">
        <v>333000</v>
      </c>
      <c r="AM101" s="245" t="s">
        <v>136</v>
      </c>
      <c r="AN101" s="246" t="s">
        <v>21</v>
      </c>
    </row>
    <row r="102" spans="1:40" ht="16.5" customHeight="1" x14ac:dyDescent="0.25">
      <c r="A102" s="344"/>
      <c r="B102" s="186"/>
      <c r="C102" s="187"/>
      <c r="D102" s="186"/>
      <c r="E102" s="197"/>
      <c r="F102" s="197"/>
      <c r="G102" s="198"/>
      <c r="H102" s="190"/>
      <c r="I102" s="190"/>
      <c r="J102" s="190"/>
      <c r="K102" s="27">
        <f t="shared" si="21"/>
        <v>0</v>
      </c>
      <c r="L102" s="28">
        <f t="shared" si="16"/>
        <v>-55355</v>
      </c>
      <c r="M102" s="810"/>
      <c r="N102" s="810"/>
      <c r="O102" s="30">
        <f t="shared" si="27"/>
        <v>0</v>
      </c>
      <c r="P102" s="171"/>
      <c r="Q102" s="31">
        <f t="shared" si="25"/>
        <v>0</v>
      </c>
      <c r="R102" s="31"/>
      <c r="S102" s="28">
        <f t="shared" si="17"/>
        <v>0</v>
      </c>
      <c r="T102" s="28">
        <f t="shared" si="20"/>
        <v>0</v>
      </c>
      <c r="U102" s="28">
        <f t="shared" si="18"/>
        <v>0</v>
      </c>
      <c r="V102" s="28">
        <f t="shared" si="19"/>
        <v>0</v>
      </c>
      <c r="W102" s="31">
        <f t="shared" si="26"/>
        <v>0</v>
      </c>
      <c r="Y102" s="828" t="s">
        <v>158</v>
      </c>
      <c r="Z102" s="489" t="s">
        <v>283</v>
      </c>
      <c r="AA102" s="498"/>
      <c r="AB102" s="499"/>
      <c r="AC102" s="345"/>
      <c r="AD102" s="353"/>
      <c r="AE102" s="353"/>
      <c r="AF102" s="353"/>
      <c r="AG102" s="35"/>
      <c r="AH102" s="35"/>
      <c r="AJ102" s="109" t="s">
        <v>133</v>
      </c>
      <c r="AK102" s="236">
        <v>250000</v>
      </c>
      <c r="AM102" s="109" t="s">
        <v>137</v>
      </c>
      <c r="AN102" s="236">
        <v>328722</v>
      </c>
    </row>
    <row r="103" spans="1:40" s="116" customFormat="1" ht="16.5" customHeight="1" thickBot="1" x14ac:dyDescent="0.3">
      <c r="A103" s="247"/>
      <c r="B103" s="186"/>
      <c r="C103" s="187"/>
      <c r="D103" s="186"/>
      <c r="E103" s="197"/>
      <c r="F103" s="197"/>
      <c r="G103" s="198"/>
      <c r="H103" s="190"/>
      <c r="I103" s="190"/>
      <c r="J103" s="190"/>
      <c r="K103" s="27">
        <f t="shared" si="21"/>
        <v>0</v>
      </c>
      <c r="L103" s="28">
        <f t="shared" si="16"/>
        <v>-55355</v>
      </c>
      <c r="M103" s="810"/>
      <c r="N103" s="810"/>
      <c r="O103" s="30">
        <f t="shared" si="27"/>
        <v>0</v>
      </c>
      <c r="P103" s="179"/>
      <c r="Q103" s="31">
        <f t="shared" si="25"/>
        <v>0</v>
      </c>
      <c r="R103" s="31"/>
      <c r="S103" s="28">
        <f t="shared" si="17"/>
        <v>0</v>
      </c>
      <c r="T103" s="28">
        <f t="shared" si="20"/>
        <v>0</v>
      </c>
      <c r="U103" s="28">
        <f t="shared" si="18"/>
        <v>0</v>
      </c>
      <c r="V103" s="28">
        <f t="shared" si="19"/>
        <v>0</v>
      </c>
      <c r="W103" s="31">
        <f t="shared" si="26"/>
        <v>0</v>
      </c>
      <c r="Y103" s="829"/>
      <c r="Z103" s="492" t="s">
        <v>284</v>
      </c>
      <c r="AA103" s="500"/>
      <c r="AB103" s="501"/>
      <c r="AC103" s="345"/>
      <c r="AD103" s="353"/>
      <c r="AE103" s="353"/>
      <c r="AF103" s="353"/>
      <c r="AG103" s="35"/>
      <c r="AH103" s="35"/>
      <c r="AI103" s="20"/>
      <c r="AJ103" s="109" t="s">
        <v>134</v>
      </c>
      <c r="AK103" s="236">
        <v>333000</v>
      </c>
      <c r="AM103" s="109" t="s">
        <v>138</v>
      </c>
      <c r="AN103" s="236">
        <v>323722</v>
      </c>
    </row>
    <row r="104" spans="1:40" s="116" customFormat="1" ht="20.25" customHeight="1" thickBot="1" x14ac:dyDescent="0.25">
      <c r="A104" s="196"/>
      <c r="B104" s="196"/>
      <c r="C104" s="359"/>
      <c r="D104" s="196"/>
      <c r="E104" s="196"/>
      <c r="F104" s="360"/>
      <c r="G104" s="196"/>
      <c r="H104" s="361"/>
      <c r="I104" s="362"/>
      <c r="J104" s="362"/>
      <c r="K104" s="363"/>
      <c r="L104" s="363"/>
      <c r="M104" s="363"/>
      <c r="N104" s="363"/>
      <c r="O104" s="363"/>
      <c r="P104" s="363"/>
      <c r="Q104" s="364"/>
      <c r="R104" s="364"/>
      <c r="S104" s="364"/>
      <c r="T104" s="364"/>
      <c r="U104" s="364"/>
      <c r="V104" s="364"/>
      <c r="W104" s="363"/>
      <c r="X104" s="119"/>
      <c r="Y104" s="829"/>
      <c r="Z104" s="492" t="s">
        <v>80</v>
      </c>
      <c r="AA104" s="500"/>
      <c r="AB104" s="501"/>
      <c r="AC104" s="345"/>
      <c r="AD104" s="353"/>
      <c r="AE104" s="353"/>
      <c r="AF104" s="353"/>
      <c r="AG104" s="35"/>
      <c r="AH104" s="35"/>
      <c r="AI104" s="20"/>
      <c r="AJ104" s="358" t="s">
        <v>135</v>
      </c>
      <c r="AK104" s="365">
        <v>319167</v>
      </c>
      <c r="AM104" s="109" t="s">
        <v>184</v>
      </c>
      <c r="AN104" s="236">
        <v>311722</v>
      </c>
    </row>
    <row r="105" spans="1:40" s="116" customFormat="1" ht="21" thickBot="1" x14ac:dyDescent="0.35">
      <c r="B105" s="116">
        <f>616000-634400</f>
        <v>-18400</v>
      </c>
      <c r="C105" s="248"/>
      <c r="E105" s="249"/>
      <c r="F105" s="250"/>
      <c r="G105" s="251" t="s">
        <v>139</v>
      </c>
      <c r="H105" s="252">
        <f>+SUM(H2:H103)</f>
        <v>154860</v>
      </c>
      <c r="I105" s="252">
        <f>+SUM(I2:I103)</f>
        <v>79040</v>
      </c>
      <c r="J105" s="252">
        <f>+SUM(J2:J103)</f>
        <v>34400</v>
      </c>
      <c r="K105" s="252">
        <f>SUM(K2:K103)</f>
        <v>268300</v>
      </c>
      <c r="L105" s="253">
        <f>+L103</f>
        <v>-55355</v>
      </c>
      <c r="M105" s="252">
        <f>SUM(M2:M103)</f>
        <v>0</v>
      </c>
      <c r="N105" s="252">
        <f>SUM(N2:N103)</f>
        <v>268300</v>
      </c>
      <c r="O105" s="252"/>
      <c r="P105" s="252">
        <f>SUM(P2:P103)</f>
        <v>0</v>
      </c>
      <c r="Q105" s="252">
        <f>SUM(Q2:Q103)</f>
        <v>0</v>
      </c>
      <c r="R105" s="252">
        <f>SUM(R2:R103)</f>
        <v>-55355</v>
      </c>
      <c r="S105" s="252">
        <f>SUM(S2:S103)</f>
        <v>153551</v>
      </c>
      <c r="T105" s="252">
        <f>+SUM(T2:T103)</f>
        <v>59394</v>
      </c>
      <c r="U105" s="252">
        <f>SUM(U2:U103)</f>
        <v>0</v>
      </c>
      <c r="V105" s="252">
        <f>SUM(V2:V103)</f>
        <v>212945</v>
      </c>
      <c r="W105" s="254">
        <f>+W103</f>
        <v>0</v>
      </c>
      <c r="Y105" s="829"/>
      <c r="Z105" s="492" t="s">
        <v>285</v>
      </c>
      <c r="AA105" s="500"/>
      <c r="AB105" s="501"/>
      <c r="AC105" s="345"/>
      <c r="AD105" s="353"/>
      <c r="AE105" s="353"/>
      <c r="AF105" s="353"/>
      <c r="AG105" s="35"/>
      <c r="AH105" s="35"/>
      <c r="AJ105" s="109"/>
      <c r="AK105" s="236"/>
      <c r="AM105" s="109" t="s">
        <v>140</v>
      </c>
      <c r="AN105" s="236">
        <v>283722</v>
      </c>
    </row>
    <row r="106" spans="1:40" s="116" customFormat="1" ht="17.25" customHeight="1" thickBot="1" x14ac:dyDescent="0.25">
      <c r="C106" s="248"/>
      <c r="F106" s="255"/>
      <c r="G106" s="256"/>
      <c r="H106" s="257"/>
      <c r="I106" s="257"/>
      <c r="J106" s="258"/>
      <c r="K106" s="119"/>
      <c r="M106" s="259"/>
      <c r="N106" s="259"/>
      <c r="O106" s="259"/>
      <c r="P106" s="259">
        <f>J93-8783</f>
        <v>-8783</v>
      </c>
      <c r="S106" s="119">
        <v>131959</v>
      </c>
      <c r="T106" s="116">
        <v>78079</v>
      </c>
      <c r="W106" s="119"/>
      <c r="Y106" s="830"/>
      <c r="Z106" s="492" t="s">
        <v>288</v>
      </c>
      <c r="AA106" s="500"/>
      <c r="AB106" s="501"/>
      <c r="AC106" s="345"/>
      <c r="AD106" s="353"/>
      <c r="AE106" s="353"/>
      <c r="AF106" s="353"/>
      <c r="AG106" s="35"/>
      <c r="AH106" s="35"/>
      <c r="AJ106" s="109"/>
      <c r="AK106" s="236"/>
      <c r="AM106" s="109" t="s">
        <v>141</v>
      </c>
      <c r="AN106" s="236">
        <v>280722</v>
      </c>
    </row>
    <row r="107" spans="1:40" s="13" customFormat="1" ht="16.5" customHeight="1" thickBot="1" x14ac:dyDescent="0.25">
      <c r="A107" s="116"/>
      <c r="B107" s="116"/>
      <c r="C107" s="248"/>
      <c r="D107" s="116"/>
      <c r="E107" s="116"/>
      <c r="F107" s="255"/>
      <c r="G107" s="256"/>
      <c r="H107" s="575" t="s">
        <v>304</v>
      </c>
      <c r="I107" s="575" t="s">
        <v>150</v>
      </c>
      <c r="J107" s="575" t="s">
        <v>306</v>
      </c>
      <c r="K107" s="576" t="s">
        <v>307</v>
      </c>
      <c r="L107" s="287" t="s">
        <v>308</v>
      </c>
      <c r="M107" s="259"/>
      <c r="N107" s="259"/>
      <c r="O107" s="259"/>
      <c r="P107" s="259"/>
      <c r="Q107" s="116"/>
      <c r="R107" s="116"/>
      <c r="S107" s="119">
        <f>S106-S105</f>
        <v>-21592</v>
      </c>
      <c r="T107" s="119">
        <f>T106-T105</f>
        <v>18685</v>
      </c>
      <c r="U107" s="116">
        <v>677</v>
      </c>
      <c r="V107" s="119">
        <f>+V51-U107</f>
        <v>4500</v>
      </c>
      <c r="W107" s="119"/>
      <c r="Y107" s="502" t="s">
        <v>289</v>
      </c>
      <c r="Z107" s="503" t="s">
        <v>289</v>
      </c>
      <c r="AA107" s="504"/>
      <c r="AB107" s="505"/>
      <c r="AC107" s="345"/>
      <c r="AD107" s="35"/>
      <c r="AE107" s="35"/>
      <c r="AF107" s="35"/>
      <c r="AG107" s="35"/>
      <c r="AH107" s="147"/>
      <c r="AJ107" s="109"/>
      <c r="AK107" s="236"/>
      <c r="AM107" s="109" t="s">
        <v>142</v>
      </c>
      <c r="AN107" s="236">
        <v>285722</v>
      </c>
    </row>
    <row r="108" spans="1:40" ht="18.75" customHeight="1" x14ac:dyDescent="0.2">
      <c r="A108" s="116"/>
      <c r="B108" s="116"/>
      <c r="C108" s="248"/>
      <c r="D108" s="116"/>
      <c r="E108" s="116"/>
      <c r="F108" s="255"/>
      <c r="G108" s="256"/>
      <c r="H108" s="257" t="s">
        <v>193</v>
      </c>
      <c r="I108" s="257">
        <v>15000</v>
      </c>
      <c r="J108" s="574">
        <f>I108/$I$111</f>
        <v>0.46875</v>
      </c>
      <c r="K108" s="119">
        <f>$W$50*J108</f>
        <v>5177.34375</v>
      </c>
      <c r="L108" s="119">
        <f>I108-K108</f>
        <v>9822.65625</v>
      </c>
      <c r="M108" s="259"/>
      <c r="N108" s="259"/>
      <c r="O108" s="259"/>
      <c r="P108" s="259"/>
      <c r="Q108" s="116"/>
      <c r="R108" s="116"/>
      <c r="S108" s="119"/>
      <c r="T108" s="116"/>
      <c r="U108" s="116"/>
      <c r="V108" s="121">
        <v>7</v>
      </c>
      <c r="W108" s="119"/>
      <c r="AJ108" s="261"/>
      <c r="AK108" s="262"/>
      <c r="AM108" s="109" t="s">
        <v>143</v>
      </c>
      <c r="AN108" s="236">
        <v>291722</v>
      </c>
    </row>
    <row r="109" spans="1:40" s="13" customFormat="1" ht="18.75" customHeight="1" x14ac:dyDescent="0.2">
      <c r="A109" s="116"/>
      <c r="B109" s="116"/>
      <c r="C109" s="248"/>
      <c r="D109" s="116"/>
      <c r="E109" s="116"/>
      <c r="F109" s="255"/>
      <c r="G109" s="256"/>
      <c r="H109" s="257" t="s">
        <v>239</v>
      </c>
      <c r="I109" s="257">
        <v>15000</v>
      </c>
      <c r="J109" s="574">
        <f>I109/$I$111</f>
        <v>0.46875</v>
      </c>
      <c r="K109" s="119">
        <f>$W$50*J109</f>
        <v>5177.34375</v>
      </c>
      <c r="L109" s="119">
        <f>I109-K109</f>
        <v>9822.65625</v>
      </c>
      <c r="M109" s="259"/>
      <c r="N109" s="259"/>
      <c r="O109" s="259"/>
      <c r="P109" s="259"/>
      <c r="Q109" s="116"/>
      <c r="R109" s="116"/>
      <c r="S109" s="119"/>
      <c r="T109" s="116"/>
      <c r="U109" s="116"/>
      <c r="V109" s="119">
        <f>+V107*V108</f>
        <v>31500</v>
      </c>
      <c r="W109" s="119"/>
      <c r="AC109" s="20"/>
      <c r="AD109" s="20"/>
      <c r="AE109" s="20"/>
      <c r="AF109" s="20"/>
      <c r="AG109" s="20"/>
      <c r="AJ109" s="261"/>
      <c r="AK109" s="262"/>
      <c r="AM109" s="261" t="s">
        <v>144</v>
      </c>
      <c r="AN109" s="262">
        <v>293722</v>
      </c>
    </row>
    <row r="110" spans="1:40" ht="19.5" customHeight="1" x14ac:dyDescent="0.2">
      <c r="A110" s="116"/>
      <c r="B110" s="116"/>
      <c r="C110" s="248"/>
      <c r="D110" s="116"/>
      <c r="E110" s="116"/>
      <c r="F110" s="255"/>
      <c r="G110" s="256"/>
      <c r="H110" s="260" t="s">
        <v>305</v>
      </c>
      <c r="I110" s="260">
        <v>2000</v>
      </c>
      <c r="J110" s="574">
        <f>I110/$I$111</f>
        <v>6.25E-2</v>
      </c>
      <c r="K110" s="119">
        <f>$W$50*J110</f>
        <v>690.3125</v>
      </c>
      <c r="L110" s="119">
        <f>I110-K110</f>
        <v>1309.6875</v>
      </c>
      <c r="M110" s="259"/>
      <c r="N110" s="259"/>
      <c r="O110" s="259"/>
      <c r="P110" s="259"/>
      <c r="Q110" s="116"/>
      <c r="R110" s="116"/>
      <c r="S110" s="119"/>
      <c r="T110" s="116"/>
      <c r="U110" s="116"/>
      <c r="V110" s="116"/>
      <c r="W110" s="119"/>
      <c r="AC110" s="485"/>
      <c r="AD110" s="19"/>
      <c r="AJ110" s="263" t="s">
        <v>135</v>
      </c>
      <c r="AK110" s="264">
        <v>278930</v>
      </c>
      <c r="AM110" s="263" t="s">
        <v>135</v>
      </c>
      <c r="AN110" s="264">
        <v>293930</v>
      </c>
    </row>
    <row r="111" spans="1:40" ht="20.25" customHeight="1" x14ac:dyDescent="0.2">
      <c r="A111" s="116"/>
      <c r="B111" s="116"/>
      <c r="C111" s="248"/>
      <c r="D111" s="116"/>
      <c r="E111" s="116"/>
      <c r="F111" s="255"/>
      <c r="G111" s="256"/>
      <c r="H111" s="573" t="s">
        <v>9</v>
      </c>
      <c r="I111" s="572">
        <f>SUM(I108:I110)</f>
        <v>32000</v>
      </c>
      <c r="J111" s="574">
        <f>SUM(J108:J110)</f>
        <v>1</v>
      </c>
      <c r="K111" s="265">
        <f>SUM(K108:K110)</f>
        <v>11045</v>
      </c>
      <c r="L111" s="265">
        <f>SUM(L108:L110)</f>
        <v>20955</v>
      </c>
      <c r="M111" s="259"/>
      <c r="N111" s="259"/>
      <c r="O111" s="259"/>
      <c r="P111" s="259"/>
      <c r="Q111" s="116"/>
      <c r="R111" s="116"/>
      <c r="S111" s="119"/>
      <c r="T111" s="116"/>
      <c r="U111" s="116"/>
      <c r="V111" s="116"/>
      <c r="W111" s="119"/>
    </row>
    <row r="112" spans="1:40" ht="15" thickBot="1" x14ac:dyDescent="0.25">
      <c r="A112" s="116" t="s">
        <v>145</v>
      </c>
      <c r="B112" s="266">
        <v>5350</v>
      </c>
      <c r="C112" s="248"/>
      <c r="D112" s="116"/>
      <c r="E112" s="116"/>
      <c r="F112" s="255"/>
      <c r="G112" s="256"/>
      <c r="H112" s="257"/>
      <c r="I112" s="258"/>
      <c r="J112" s="258"/>
      <c r="K112" s="119"/>
      <c r="L112" s="116"/>
      <c r="M112" s="259"/>
      <c r="N112" s="259"/>
      <c r="O112" s="259"/>
      <c r="P112" s="259"/>
      <c r="Q112" s="116"/>
      <c r="R112" s="116"/>
      <c r="S112" s="119"/>
      <c r="T112" s="116"/>
      <c r="U112" s="116"/>
      <c r="V112" s="116"/>
      <c r="W112" s="119"/>
      <c r="AD112" s="19"/>
    </row>
    <row r="113" spans="1:40" ht="19.5" customHeight="1" thickBot="1" x14ac:dyDescent="0.25">
      <c r="A113" s="831" t="s">
        <v>146</v>
      </c>
      <c r="B113" s="831">
        <v>62050</v>
      </c>
      <c r="C113" s="248"/>
      <c r="D113" s="116"/>
      <c r="E113" s="116"/>
      <c r="F113" s="255"/>
      <c r="G113" s="832" t="s">
        <v>147</v>
      </c>
      <c r="H113" s="833"/>
      <c r="I113" s="834" t="s">
        <v>93</v>
      </c>
      <c r="J113" s="835"/>
      <c r="K113" s="835"/>
      <c r="L113" s="836"/>
      <c r="M113" s="259"/>
      <c r="N113" s="259"/>
      <c r="O113" s="259"/>
      <c r="P113" s="259"/>
      <c r="Q113" s="116"/>
      <c r="R113" s="116"/>
      <c r="S113" s="119"/>
      <c r="T113" s="116"/>
      <c r="U113" s="116"/>
      <c r="V113" s="116"/>
      <c r="W113" s="119"/>
      <c r="AJ113" s="357" t="s">
        <v>136</v>
      </c>
      <c r="AK113" s="358" t="s">
        <v>21</v>
      </c>
    </row>
    <row r="114" spans="1:40" ht="29.25" customHeight="1" thickBot="1" x14ac:dyDescent="0.25">
      <c r="A114" s="831"/>
      <c r="B114" s="831"/>
      <c r="C114" s="248"/>
      <c r="D114" s="116"/>
      <c r="E114" s="116"/>
      <c r="F114" s="255"/>
      <c r="G114" s="267" t="s">
        <v>148</v>
      </c>
      <c r="H114" s="268" t="s">
        <v>149</v>
      </c>
      <c r="I114" s="269" t="s">
        <v>150</v>
      </c>
      <c r="J114" s="270" t="s">
        <v>151</v>
      </c>
      <c r="K114" s="837" t="s">
        <v>152</v>
      </c>
      <c r="L114" s="838"/>
      <c r="M114" s="259"/>
      <c r="N114" s="259"/>
      <c r="O114" s="259"/>
      <c r="P114" s="259"/>
      <c r="Q114" s="116"/>
      <c r="R114" s="116"/>
      <c r="S114" s="119"/>
      <c r="T114" s="116"/>
      <c r="U114" s="116"/>
      <c r="V114" s="116"/>
      <c r="W114" s="119"/>
      <c r="AJ114" s="109" t="s">
        <v>155</v>
      </c>
      <c r="AK114" s="236">
        <v>344000</v>
      </c>
      <c r="AM114" s="271" t="s">
        <v>153</v>
      </c>
      <c r="AN114" s="272" t="s">
        <v>21</v>
      </c>
    </row>
    <row r="115" spans="1:40" ht="18" customHeight="1" x14ac:dyDescent="0.2">
      <c r="A115" s="116"/>
      <c r="B115" s="273">
        <f>B112/B113*100</f>
        <v>8.6220789685737298</v>
      </c>
      <c r="C115" s="248"/>
      <c r="D115" s="116"/>
      <c r="E115" s="116"/>
      <c r="F115" s="255"/>
      <c r="G115" s="842" t="s">
        <v>154</v>
      </c>
      <c r="H115" s="274" t="s">
        <v>28</v>
      </c>
      <c r="I115" s="274">
        <f>SUM(H2:H14)+SUM(H30:H37)+18820</f>
        <v>102300</v>
      </c>
      <c r="J115" s="274">
        <f>SUM(H2:H5)+H14+SUM(H30:H32)+H35+18820</f>
        <v>39020</v>
      </c>
      <c r="K115" s="845">
        <f t="shared" ref="K115:K123" si="28">I115-J115</f>
        <v>63280</v>
      </c>
      <c r="L115" s="846"/>
      <c r="M115" s="259"/>
      <c r="N115" s="259"/>
      <c r="O115" s="259"/>
      <c r="P115" s="259"/>
      <c r="Q115" s="116"/>
      <c r="R115" s="116"/>
      <c r="S115" s="119"/>
      <c r="T115" s="116"/>
      <c r="U115" s="116"/>
      <c r="V115" s="116"/>
      <c r="W115" s="119"/>
      <c r="AC115" s="20">
        <f>10356+37310</f>
        <v>47666</v>
      </c>
      <c r="AJ115" s="358" t="s">
        <v>135</v>
      </c>
      <c r="AK115" s="365">
        <v>322375</v>
      </c>
      <c r="AM115" s="109" t="s">
        <v>155</v>
      </c>
      <c r="AN115" s="236">
        <v>110719</v>
      </c>
    </row>
    <row r="116" spans="1:40" ht="16.5" customHeight="1" x14ac:dyDescent="0.2">
      <c r="A116" s="116"/>
      <c r="B116" s="116"/>
      <c r="C116" s="248"/>
      <c r="D116" s="116"/>
      <c r="E116" s="116"/>
      <c r="F116" s="255"/>
      <c r="G116" s="842"/>
      <c r="H116" s="275" t="s">
        <v>80</v>
      </c>
      <c r="I116" s="275">
        <f>H53+H54+0</f>
        <v>2000</v>
      </c>
      <c r="J116" s="275">
        <f>I116+0</f>
        <v>2000</v>
      </c>
      <c r="K116" s="839">
        <f t="shared" si="28"/>
        <v>0</v>
      </c>
      <c r="L116" s="840"/>
      <c r="M116" s="259"/>
      <c r="N116" s="259"/>
      <c r="O116" s="259"/>
      <c r="P116" s="259"/>
      <c r="Q116" s="116"/>
      <c r="R116" s="116"/>
      <c r="S116" s="119"/>
      <c r="T116" s="116"/>
      <c r="U116" s="116"/>
      <c r="V116" s="116"/>
      <c r="W116" s="119"/>
      <c r="AJ116" s="109"/>
      <c r="AK116" s="236"/>
      <c r="AM116" s="241" t="s">
        <v>135</v>
      </c>
      <c r="AN116" s="242">
        <v>119460</v>
      </c>
    </row>
    <row r="117" spans="1:40" ht="15.75" customHeight="1" x14ac:dyDescent="0.2">
      <c r="A117" s="116"/>
      <c r="B117" s="116"/>
      <c r="C117" s="248"/>
      <c r="D117" s="116"/>
      <c r="E117" s="116"/>
      <c r="F117" s="255"/>
      <c r="G117" s="842"/>
      <c r="H117" s="275" t="s">
        <v>61</v>
      </c>
      <c r="I117" s="275">
        <f>SUM(H15:H24)+SUM(H38:H43)+74125</f>
        <v>121505</v>
      </c>
      <c r="J117" s="275">
        <f>I117</f>
        <v>121505</v>
      </c>
      <c r="K117" s="839">
        <f t="shared" si="28"/>
        <v>0</v>
      </c>
      <c r="L117" s="840"/>
      <c r="M117" s="116"/>
      <c r="N117" s="119"/>
      <c r="O117" s="116"/>
      <c r="P117" s="119"/>
      <c r="Q117" s="276"/>
      <c r="R117" s="276"/>
      <c r="S117" s="276"/>
      <c r="T117" s="276"/>
      <c r="U117" s="276"/>
      <c r="W117" s="116"/>
      <c r="X117" s="20"/>
      <c r="AJ117" s="358" t="s">
        <v>135</v>
      </c>
      <c r="AK117" s="365">
        <v>319167</v>
      </c>
      <c r="AM117" s="109"/>
      <c r="AN117" s="236"/>
    </row>
    <row r="118" spans="1:40" ht="17.25" customHeight="1" x14ac:dyDescent="0.2">
      <c r="A118" s="116"/>
      <c r="B118" s="116"/>
      <c r="C118" s="248"/>
      <c r="D118" s="116"/>
      <c r="E118" s="116"/>
      <c r="F118" s="255"/>
      <c r="G118" s="842"/>
      <c r="H118" s="275" t="s">
        <v>156</v>
      </c>
      <c r="I118" s="275">
        <f>0+14000</f>
        <v>14000</v>
      </c>
      <c r="J118" s="275">
        <f>I118</f>
        <v>14000</v>
      </c>
      <c r="K118" s="839">
        <f t="shared" si="28"/>
        <v>0</v>
      </c>
      <c r="L118" s="840"/>
      <c r="M118" s="276"/>
      <c r="N118" s="276"/>
      <c r="O118" s="276"/>
      <c r="P118" s="13"/>
      <c r="Q118" s="13"/>
      <c r="R118" s="13"/>
      <c r="S118" s="13"/>
      <c r="T118" s="13"/>
      <c r="U118" s="13"/>
      <c r="V118" s="53"/>
      <c r="W118" s="53"/>
      <c r="X118" s="20"/>
      <c r="AM118" s="241" t="s">
        <v>135</v>
      </c>
      <c r="AN118" s="242">
        <v>123333</v>
      </c>
    </row>
    <row r="119" spans="1:40" ht="18" customHeight="1" x14ac:dyDescent="0.2">
      <c r="A119" s="116"/>
      <c r="B119" s="116"/>
      <c r="C119" s="248"/>
      <c r="D119" s="116"/>
      <c r="E119" s="116"/>
      <c r="F119" s="255"/>
      <c r="G119" s="844"/>
      <c r="H119" s="275" t="s">
        <v>157</v>
      </c>
      <c r="I119" s="275">
        <f>SUM(H25:H28) + SUM(H44:H50)+3000</f>
        <v>25000</v>
      </c>
      <c r="J119" s="275">
        <f>I119</f>
        <v>25000</v>
      </c>
      <c r="K119" s="839">
        <f t="shared" si="28"/>
        <v>0</v>
      </c>
      <c r="L119" s="840"/>
      <c r="X119" s="20"/>
      <c r="AJ119" s="348" t="s">
        <v>182</v>
      </c>
      <c r="AK119" s="349" t="s">
        <v>21</v>
      </c>
    </row>
    <row r="120" spans="1:40" ht="30" customHeight="1" x14ac:dyDescent="0.2">
      <c r="A120" s="116"/>
      <c r="B120" s="116"/>
      <c r="C120" s="248"/>
      <c r="D120" s="116"/>
      <c r="E120" s="116"/>
      <c r="F120" s="255"/>
      <c r="G120" s="841" t="s">
        <v>158</v>
      </c>
      <c r="H120" s="275" t="s">
        <v>28</v>
      </c>
      <c r="I120" s="277">
        <f>SUM(I2:I14)+SUM(I30:I37)+53123</f>
        <v>96843</v>
      </c>
      <c r="J120" s="275">
        <f>I120</f>
        <v>96843</v>
      </c>
      <c r="K120" s="839">
        <f t="shared" si="28"/>
        <v>0</v>
      </c>
      <c r="L120" s="840"/>
      <c r="AJ120" s="109" t="s">
        <v>155</v>
      </c>
      <c r="AK120" s="236">
        <v>169523</v>
      </c>
    </row>
    <row r="121" spans="1:40" x14ac:dyDescent="0.2">
      <c r="A121" s="116"/>
      <c r="B121" s="116"/>
      <c r="C121" s="248"/>
      <c r="D121" s="116"/>
      <c r="E121" s="258"/>
      <c r="F121" s="258"/>
      <c r="G121" s="842"/>
      <c r="H121" s="278" t="s">
        <v>80</v>
      </c>
      <c r="I121" s="277">
        <f>SUM(I53:I56)+109</f>
        <v>15109</v>
      </c>
      <c r="J121" s="275">
        <f>I121+0</f>
        <v>15109</v>
      </c>
      <c r="K121" s="839">
        <f t="shared" si="28"/>
        <v>0</v>
      </c>
      <c r="L121" s="840"/>
      <c r="AJ121" s="354" t="s">
        <v>135</v>
      </c>
      <c r="AK121" s="355">
        <v>173236</v>
      </c>
    </row>
    <row r="122" spans="1:40" x14ac:dyDescent="0.2">
      <c r="A122" s="116"/>
      <c r="B122" s="116"/>
      <c r="C122" s="248"/>
      <c r="D122" s="116"/>
      <c r="E122" s="258"/>
      <c r="F122" s="258"/>
      <c r="G122" s="842"/>
      <c r="H122" s="278" t="s">
        <v>61</v>
      </c>
      <c r="I122" s="277">
        <f>SUM(I15:I24)+SUM(I38:I43)+4379</f>
        <v>9699</v>
      </c>
      <c r="J122" s="277">
        <f>SUM(I15:I24)+SUM(I38:I43)+4379</f>
        <v>9699</v>
      </c>
      <c r="K122" s="839">
        <f t="shared" si="28"/>
        <v>0</v>
      </c>
      <c r="L122" s="840"/>
      <c r="M122" s="50"/>
      <c r="N122" s="50"/>
      <c r="O122" s="50"/>
      <c r="P122" s="50"/>
      <c r="AJ122" s="109"/>
      <c r="AK122" s="236"/>
    </row>
    <row r="123" spans="1:40" x14ac:dyDescent="0.2">
      <c r="A123" s="116"/>
      <c r="B123" s="116"/>
      <c r="C123" s="248"/>
      <c r="D123" s="116"/>
      <c r="E123" s="258"/>
      <c r="F123" s="258"/>
      <c r="G123" s="842"/>
      <c r="H123" s="278" t="s">
        <v>156</v>
      </c>
      <c r="I123" s="277">
        <f>0+38756</f>
        <v>38756</v>
      </c>
      <c r="J123" s="277">
        <f>0+38756</f>
        <v>38756</v>
      </c>
      <c r="K123" s="839">
        <f t="shared" si="28"/>
        <v>0</v>
      </c>
      <c r="L123" s="840"/>
      <c r="AJ123" s="354"/>
      <c r="AK123" s="355"/>
    </row>
    <row r="124" spans="1:40" ht="13.5" thickBot="1" x14ac:dyDescent="0.25">
      <c r="A124" s="116"/>
      <c r="B124" s="116"/>
      <c r="C124" s="248"/>
      <c r="D124" s="116"/>
      <c r="E124" s="258"/>
      <c r="F124" s="258"/>
      <c r="G124" s="843"/>
      <c r="H124" s="279" t="s">
        <v>157</v>
      </c>
      <c r="I124" s="280">
        <f>SUM(I25:I28)+SUM(I44:I50)+0</f>
        <v>0</v>
      </c>
      <c r="J124" s="280">
        <f>I124+0</f>
        <v>0</v>
      </c>
      <c r="K124" s="839"/>
      <c r="L124" s="840"/>
    </row>
    <row r="125" spans="1:40" ht="15.75" thickBot="1" x14ac:dyDescent="0.25">
      <c r="A125" s="116"/>
      <c r="B125" s="116"/>
      <c r="C125" s="248"/>
      <c r="D125" s="116"/>
      <c r="E125" s="258"/>
      <c r="F125" s="258"/>
      <c r="G125" s="847" t="s">
        <v>159</v>
      </c>
      <c r="H125" s="848"/>
      <c r="I125" s="281">
        <f>73100+96900</f>
        <v>170000</v>
      </c>
      <c r="J125" s="282">
        <f>U29+96900</f>
        <v>96900</v>
      </c>
      <c r="K125" s="849">
        <f>I125-J125</f>
        <v>73100</v>
      </c>
      <c r="L125" s="850"/>
    </row>
    <row r="126" spans="1:40" ht="15.75" thickBot="1" x14ac:dyDescent="0.25">
      <c r="A126" s="116"/>
      <c r="B126" s="116"/>
      <c r="C126" s="248"/>
      <c r="D126" s="116"/>
      <c r="E126" s="258"/>
      <c r="F126" s="258"/>
      <c r="G126" s="832" t="s">
        <v>147</v>
      </c>
      <c r="H126" s="833"/>
      <c r="I126" s="834" t="s">
        <v>160</v>
      </c>
      <c r="J126" s="835"/>
      <c r="K126" s="835"/>
      <c r="L126" s="836"/>
      <c r="X126" s="20"/>
    </row>
    <row r="127" spans="1:40" ht="15.75" thickBot="1" x14ac:dyDescent="0.25">
      <c r="A127" s="116"/>
      <c r="B127" s="116"/>
      <c r="C127" s="248"/>
      <c r="D127" s="116"/>
      <c r="E127" s="258"/>
      <c r="F127" s="258"/>
      <c r="G127" s="267" t="s">
        <v>148</v>
      </c>
      <c r="H127" s="283" t="s">
        <v>149</v>
      </c>
      <c r="I127" s="269" t="s">
        <v>150</v>
      </c>
      <c r="J127" s="270" t="s">
        <v>151</v>
      </c>
      <c r="K127" s="851" t="s">
        <v>152</v>
      </c>
      <c r="L127" s="852"/>
      <c r="X127" s="20"/>
    </row>
    <row r="128" spans="1:40" x14ac:dyDescent="0.2">
      <c r="A128" s="116"/>
      <c r="B128" s="116"/>
      <c r="C128" s="248"/>
      <c r="D128" s="116"/>
      <c r="E128" s="258"/>
      <c r="F128" s="258"/>
      <c r="G128" s="855" t="s">
        <v>154</v>
      </c>
      <c r="H128" s="274" t="s">
        <v>28</v>
      </c>
      <c r="I128" s="284">
        <f>SUM(H57:H60)+0</f>
        <v>0</v>
      </c>
      <c r="J128" s="277">
        <f>SUM(H57:H60)+0</f>
        <v>0</v>
      </c>
      <c r="K128" s="857">
        <f>I128-J128</f>
        <v>0</v>
      </c>
      <c r="L128" s="858"/>
    </row>
    <row r="129" spans="1:26" x14ac:dyDescent="0.2">
      <c r="A129" s="116"/>
      <c r="B129" s="116"/>
      <c r="C129" s="248"/>
      <c r="D129" s="116"/>
      <c r="E129" s="258"/>
      <c r="F129" s="258"/>
      <c r="G129" s="855"/>
      <c r="H129" s="275" t="s">
        <v>80</v>
      </c>
      <c r="I129" s="277">
        <f>SUM(H75:H80)+H84+0</f>
        <v>0</v>
      </c>
      <c r="J129" s="277">
        <f>SUM(H75:H80)+H84+0</f>
        <v>0</v>
      </c>
      <c r="K129" s="853">
        <f t="shared" ref="K129:K137" si="29">I129-J129</f>
        <v>0</v>
      </c>
      <c r="L129" s="854"/>
    </row>
    <row r="130" spans="1:26" x14ac:dyDescent="0.2">
      <c r="A130" s="116"/>
      <c r="B130" s="116"/>
      <c r="C130" s="248"/>
      <c r="D130" s="116"/>
      <c r="E130" s="258"/>
      <c r="F130" s="258"/>
      <c r="G130" s="855"/>
      <c r="H130" s="275" t="s">
        <v>61</v>
      </c>
      <c r="I130" s="277">
        <f>H65+1728</f>
        <v>1728</v>
      </c>
      <c r="J130" s="277">
        <f>H65+0</f>
        <v>0</v>
      </c>
      <c r="K130" s="853">
        <f t="shared" si="29"/>
        <v>1728</v>
      </c>
      <c r="L130" s="854"/>
    </row>
    <row r="131" spans="1:26" x14ac:dyDescent="0.2">
      <c r="A131" s="116"/>
      <c r="B131" s="116"/>
      <c r="C131" s="248"/>
      <c r="D131" s="116"/>
      <c r="E131" s="258"/>
      <c r="F131" s="258"/>
      <c r="G131" s="855"/>
      <c r="H131" s="275" t="s">
        <v>156</v>
      </c>
      <c r="I131" s="277">
        <f>0+0</f>
        <v>0</v>
      </c>
      <c r="J131" s="277">
        <f>0+0</f>
        <v>0</v>
      </c>
      <c r="K131" s="853">
        <f t="shared" si="29"/>
        <v>0</v>
      </c>
      <c r="L131" s="854"/>
    </row>
    <row r="132" spans="1:26" x14ac:dyDescent="0.2">
      <c r="A132" s="116"/>
      <c r="B132" s="116"/>
      <c r="C132" s="248"/>
      <c r="D132" s="116"/>
      <c r="E132" s="116"/>
      <c r="F132" s="255"/>
      <c r="G132" s="856"/>
      <c r="H132" s="275" t="s">
        <v>157</v>
      </c>
      <c r="I132" s="277">
        <f>SUM(H61:H64)+SUM(H66:H74)+SUM(H81:H83)+42705</f>
        <v>42705</v>
      </c>
      <c r="J132" s="277">
        <f>SUM(H61:H64)+SUM(H66:H74)+SUM(H81:H83)+36111</f>
        <v>36111</v>
      </c>
      <c r="K132" s="853">
        <f t="shared" si="29"/>
        <v>6594</v>
      </c>
      <c r="L132" s="854"/>
    </row>
    <row r="133" spans="1:26" x14ac:dyDescent="0.2">
      <c r="A133" s="116"/>
      <c r="B133" s="116"/>
      <c r="C133" s="248"/>
      <c r="D133" s="116"/>
      <c r="E133" s="116"/>
      <c r="F133" s="255"/>
      <c r="G133" s="841" t="s">
        <v>158</v>
      </c>
      <c r="H133" s="275" t="s">
        <v>28</v>
      </c>
      <c r="I133" s="285">
        <f>SUM(I57:I60)+15</f>
        <v>15</v>
      </c>
      <c r="J133" s="277">
        <f>SUM(I57:I60)+15</f>
        <v>15</v>
      </c>
      <c r="K133" s="853">
        <f t="shared" si="29"/>
        <v>0</v>
      </c>
      <c r="L133" s="854"/>
    </row>
    <row r="134" spans="1:26" x14ac:dyDescent="0.2">
      <c r="A134" s="286"/>
      <c r="B134" s="286"/>
      <c r="C134" s="287"/>
      <c r="D134" s="286"/>
      <c r="E134" s="286"/>
      <c r="F134" s="288"/>
      <c r="G134" s="842"/>
      <c r="H134" s="275" t="s">
        <v>80</v>
      </c>
      <c r="I134" s="285">
        <f>SUM(I75:I80)+I84+0</f>
        <v>0</v>
      </c>
      <c r="J134" s="277">
        <f>SUM(I75:I80)+I84+0</f>
        <v>0</v>
      </c>
      <c r="K134" s="853">
        <f t="shared" si="29"/>
        <v>0</v>
      </c>
      <c r="L134" s="854"/>
    </row>
    <row r="135" spans="1:26" x14ac:dyDescent="0.2">
      <c r="A135" s="116"/>
      <c r="B135" s="116"/>
      <c r="C135" s="248"/>
      <c r="D135" s="116"/>
      <c r="E135" s="258"/>
      <c r="F135" s="258"/>
      <c r="G135" s="842"/>
      <c r="H135" s="275" t="s">
        <v>61</v>
      </c>
      <c r="I135" s="285">
        <f>I65+0</f>
        <v>0</v>
      </c>
      <c r="J135" s="277">
        <f>I65+0</f>
        <v>0</v>
      </c>
      <c r="K135" s="853">
        <f t="shared" si="29"/>
        <v>0</v>
      </c>
      <c r="L135" s="854"/>
    </row>
    <row r="136" spans="1:26" x14ac:dyDescent="0.2">
      <c r="A136" s="116"/>
      <c r="B136" s="116"/>
      <c r="C136" s="248"/>
      <c r="D136" s="116"/>
      <c r="E136" s="258"/>
      <c r="F136" s="258"/>
      <c r="G136" s="842"/>
      <c r="H136" s="275" t="s">
        <v>156</v>
      </c>
      <c r="I136" s="285">
        <f>0+0</f>
        <v>0</v>
      </c>
      <c r="J136" s="277">
        <f>0+0</f>
        <v>0</v>
      </c>
      <c r="K136" s="853">
        <f t="shared" si="29"/>
        <v>0</v>
      </c>
      <c r="L136" s="854"/>
    </row>
    <row r="137" spans="1:26" ht="13.5" thickBot="1" x14ac:dyDescent="0.25">
      <c r="A137" s="116"/>
      <c r="B137" s="116"/>
      <c r="C137" s="248"/>
      <c r="D137" s="116"/>
      <c r="E137" s="258"/>
      <c r="F137" s="289"/>
      <c r="G137" s="844"/>
      <c r="H137" s="275" t="s">
        <v>157</v>
      </c>
      <c r="I137" s="285">
        <f>SUM(I61:I64)+SUM(I66:I74)+SUM(I81:I83)+1700</f>
        <v>1700</v>
      </c>
      <c r="J137" s="290">
        <f>SUM(I61:I64)+SUM(I66:I74)+SUM(I81:I83)+1438</f>
        <v>1438</v>
      </c>
      <c r="K137" s="853">
        <f t="shared" si="29"/>
        <v>262</v>
      </c>
      <c r="L137" s="854"/>
      <c r="X137" s="20"/>
      <c r="Z137" s="20"/>
    </row>
    <row r="138" spans="1:26" ht="15.75" thickBot="1" x14ac:dyDescent="0.25">
      <c r="A138" s="116"/>
      <c r="B138" s="116"/>
      <c r="C138" s="248"/>
      <c r="D138" s="116"/>
      <c r="E138" s="116"/>
      <c r="F138" s="255"/>
      <c r="G138" s="847" t="s">
        <v>159</v>
      </c>
      <c r="H138" s="848"/>
      <c r="I138" s="291">
        <f>55900+74100</f>
        <v>130000</v>
      </c>
      <c r="J138" s="292">
        <f>0+11236</f>
        <v>11236</v>
      </c>
      <c r="K138" s="859">
        <f>I138-J138</f>
        <v>118764</v>
      </c>
      <c r="L138" s="860"/>
      <c r="X138" s="20"/>
      <c r="Z138" s="20"/>
    </row>
    <row r="139" spans="1:26" ht="16.5" thickBot="1" x14ac:dyDescent="0.25">
      <c r="G139" s="861" t="s">
        <v>161</v>
      </c>
      <c r="H139" s="862"/>
      <c r="I139" s="862"/>
      <c r="J139" s="862"/>
      <c r="K139" s="862"/>
      <c r="L139" s="863"/>
      <c r="X139" s="20"/>
      <c r="Z139" s="20"/>
    </row>
    <row r="140" spans="1:26" ht="15.75" thickBot="1" x14ac:dyDescent="0.25">
      <c r="G140" s="267" t="s">
        <v>148</v>
      </c>
      <c r="H140" s="283" t="s">
        <v>149</v>
      </c>
      <c r="I140" s="269" t="s">
        <v>150</v>
      </c>
      <c r="J140" s="270" t="s">
        <v>151</v>
      </c>
      <c r="K140" s="851" t="s">
        <v>152</v>
      </c>
      <c r="L140" s="852"/>
      <c r="X140" s="20"/>
      <c r="Z140" s="20"/>
    </row>
    <row r="141" spans="1:26" x14ac:dyDescent="0.2">
      <c r="G141" s="864" t="s">
        <v>154</v>
      </c>
      <c r="H141" s="295" t="s">
        <v>28</v>
      </c>
      <c r="I141" s="296">
        <f t="shared" ref="I141:K151" si="30">I115+I128</f>
        <v>102300</v>
      </c>
      <c r="J141" s="296">
        <f t="shared" si="30"/>
        <v>39020</v>
      </c>
      <c r="K141" s="867">
        <f t="shared" si="30"/>
        <v>63280</v>
      </c>
      <c r="L141" s="868"/>
      <c r="X141" s="20"/>
      <c r="Z141" s="20"/>
    </row>
    <row r="142" spans="1:26" x14ac:dyDescent="0.2">
      <c r="C142" s="20"/>
      <c r="F142" s="20"/>
      <c r="G142" s="865"/>
      <c r="H142" s="297" t="s">
        <v>80</v>
      </c>
      <c r="I142" s="298">
        <f t="shared" si="30"/>
        <v>2000</v>
      </c>
      <c r="J142" s="298">
        <f t="shared" si="30"/>
        <v>2000</v>
      </c>
      <c r="K142" s="869">
        <f t="shared" si="30"/>
        <v>0</v>
      </c>
      <c r="L142" s="870"/>
      <c r="X142" s="20"/>
      <c r="Z142" s="20"/>
    </row>
    <row r="143" spans="1:26" x14ac:dyDescent="0.2">
      <c r="G143" s="865"/>
      <c r="H143" s="297" t="s">
        <v>61</v>
      </c>
      <c r="I143" s="298">
        <f t="shared" si="30"/>
        <v>123233</v>
      </c>
      <c r="J143" s="298">
        <f t="shared" si="30"/>
        <v>121505</v>
      </c>
      <c r="K143" s="869">
        <f t="shared" si="30"/>
        <v>1728</v>
      </c>
      <c r="L143" s="870"/>
      <c r="X143" s="20"/>
      <c r="Z143" s="20"/>
    </row>
    <row r="144" spans="1:26" x14ac:dyDescent="0.2">
      <c r="G144" s="865"/>
      <c r="H144" s="297" t="s">
        <v>156</v>
      </c>
      <c r="I144" s="298">
        <f t="shared" si="30"/>
        <v>14000</v>
      </c>
      <c r="J144" s="298">
        <f t="shared" si="30"/>
        <v>14000</v>
      </c>
      <c r="K144" s="869">
        <f t="shared" si="30"/>
        <v>0</v>
      </c>
      <c r="L144" s="870"/>
      <c r="X144" s="20"/>
      <c r="Z144" s="20"/>
    </row>
    <row r="145" spans="3:26" ht="13.5" thickBot="1" x14ac:dyDescent="0.25">
      <c r="G145" s="866"/>
      <c r="H145" s="299" t="s">
        <v>157</v>
      </c>
      <c r="I145" s="300">
        <f t="shared" si="30"/>
        <v>67705</v>
      </c>
      <c r="J145" s="300">
        <f t="shared" si="30"/>
        <v>61111</v>
      </c>
      <c r="K145" s="871">
        <f t="shared" si="30"/>
        <v>6594</v>
      </c>
      <c r="L145" s="872"/>
      <c r="X145" s="20"/>
      <c r="Z145" s="20"/>
    </row>
    <row r="146" spans="3:26" x14ac:dyDescent="0.2">
      <c r="G146" s="879" t="s">
        <v>158</v>
      </c>
      <c r="H146" s="295" t="s">
        <v>28</v>
      </c>
      <c r="I146" s="296">
        <f t="shared" si="30"/>
        <v>96858</v>
      </c>
      <c r="J146" s="296">
        <f t="shared" si="30"/>
        <v>96858</v>
      </c>
      <c r="K146" s="867">
        <f t="shared" si="30"/>
        <v>0</v>
      </c>
      <c r="L146" s="868"/>
      <c r="X146" s="20"/>
      <c r="Z146" s="20"/>
    </row>
    <row r="147" spans="3:26" x14ac:dyDescent="0.2">
      <c r="G147" s="880"/>
      <c r="H147" s="297" t="s">
        <v>80</v>
      </c>
      <c r="I147" s="301">
        <f t="shared" si="30"/>
        <v>15109</v>
      </c>
      <c r="J147" s="301">
        <f t="shared" si="30"/>
        <v>15109</v>
      </c>
      <c r="K147" s="869">
        <f t="shared" si="30"/>
        <v>0</v>
      </c>
      <c r="L147" s="870"/>
      <c r="X147" s="20"/>
      <c r="Z147" s="20"/>
    </row>
    <row r="148" spans="3:26" x14ac:dyDescent="0.2">
      <c r="G148" s="880"/>
      <c r="H148" s="297" t="s">
        <v>61</v>
      </c>
      <c r="I148" s="301">
        <f t="shared" si="30"/>
        <v>9699</v>
      </c>
      <c r="J148" s="301">
        <f t="shared" si="30"/>
        <v>9699</v>
      </c>
      <c r="K148" s="869">
        <f t="shared" si="30"/>
        <v>0</v>
      </c>
      <c r="L148" s="870"/>
      <c r="X148" s="20"/>
      <c r="Z148" s="20"/>
    </row>
    <row r="149" spans="3:26" x14ac:dyDescent="0.2">
      <c r="G149" s="880"/>
      <c r="H149" s="297" t="s">
        <v>156</v>
      </c>
      <c r="I149" s="301">
        <f t="shared" si="30"/>
        <v>38756</v>
      </c>
      <c r="J149" s="301">
        <f t="shared" si="30"/>
        <v>38756</v>
      </c>
      <c r="K149" s="869">
        <f t="shared" si="30"/>
        <v>0</v>
      </c>
      <c r="L149" s="870"/>
      <c r="X149" s="20"/>
      <c r="Z149" s="20"/>
    </row>
    <row r="150" spans="3:26" ht="13.5" thickBot="1" x14ac:dyDescent="0.25">
      <c r="G150" s="881"/>
      <c r="H150" s="299" t="s">
        <v>157</v>
      </c>
      <c r="I150" s="302">
        <f t="shared" si="30"/>
        <v>1700</v>
      </c>
      <c r="J150" s="302">
        <f t="shared" si="30"/>
        <v>1438</v>
      </c>
      <c r="K150" s="871">
        <f t="shared" si="30"/>
        <v>262</v>
      </c>
      <c r="L150" s="872"/>
      <c r="X150" s="20"/>
      <c r="Z150" s="20"/>
    </row>
    <row r="151" spans="3:26" ht="15.75" thickBot="1" x14ac:dyDescent="0.25">
      <c r="G151" s="847" t="s">
        <v>162</v>
      </c>
      <c r="H151" s="873"/>
      <c r="I151" s="303">
        <f t="shared" si="30"/>
        <v>300000</v>
      </c>
      <c r="J151" s="303">
        <f t="shared" si="30"/>
        <v>108136</v>
      </c>
      <c r="K151" s="874">
        <f>I151-J151</f>
        <v>191864</v>
      </c>
      <c r="L151" s="873"/>
      <c r="X151" s="20"/>
      <c r="Z151" s="20"/>
    </row>
    <row r="152" spans="3:26" ht="15.75" thickBot="1" x14ac:dyDescent="0.3">
      <c r="G152" s="875" t="s">
        <v>163</v>
      </c>
      <c r="H152" s="876"/>
      <c r="I152" s="304">
        <f>SUM(I141:I150)</f>
        <v>471360</v>
      </c>
      <c r="J152" s="304">
        <f>SUM(J141:J150)</f>
        <v>399496</v>
      </c>
      <c r="K152" s="877">
        <f>SUM(K141:L150)</f>
        <v>71864</v>
      </c>
      <c r="L152" s="878"/>
      <c r="X152" s="20"/>
      <c r="Z152" s="20"/>
    </row>
    <row r="154" spans="3:26" ht="15" x14ac:dyDescent="0.25">
      <c r="C154" s="20"/>
      <c r="F154" s="20"/>
      <c r="G154" s="305"/>
      <c r="H154" s="306"/>
      <c r="J154" s="20"/>
      <c r="X154" s="20"/>
      <c r="Z154" s="20"/>
    </row>
    <row r="155" spans="3:26" x14ac:dyDescent="0.2">
      <c r="C155" s="20"/>
      <c r="F155" s="20"/>
      <c r="J155" s="20"/>
      <c r="X155" s="20"/>
      <c r="Z155" s="20"/>
    </row>
    <row r="156" spans="3:26" x14ac:dyDescent="0.2">
      <c r="C156" s="20"/>
      <c r="F156" s="20"/>
      <c r="J156" s="307">
        <v>28391</v>
      </c>
      <c r="Q156" s="20">
        <v>8815</v>
      </c>
      <c r="X156" s="20"/>
      <c r="Z156" s="20"/>
    </row>
    <row r="157" spans="3:26" x14ac:dyDescent="0.2">
      <c r="C157" s="20"/>
      <c r="F157" s="20"/>
      <c r="J157" s="20"/>
      <c r="X157" s="20"/>
      <c r="Z157" s="20"/>
    </row>
    <row r="158" spans="3:26" x14ac:dyDescent="0.2">
      <c r="C158" s="20"/>
      <c r="F158" s="20"/>
      <c r="H158" s="307" t="s">
        <v>249</v>
      </c>
      <c r="I158" s="307">
        <v>20500</v>
      </c>
      <c r="J158" s="18">
        <f>I158/I162</f>
        <v>0.46345488662310946</v>
      </c>
      <c r="L158" s="80">
        <f>J156*$J$158</f>
        <v>13157.9476861167</v>
      </c>
      <c r="N158" s="20" t="s">
        <v>256</v>
      </c>
      <c r="P158" s="20">
        <v>360</v>
      </c>
      <c r="Q158" s="20">
        <v>4733</v>
      </c>
      <c r="R158" s="18">
        <f>Q158/Q162</f>
        <v>0.34464428748270587</v>
      </c>
      <c r="S158" s="18"/>
      <c r="T158" s="80">
        <f>Q156*R158</f>
        <v>3038.0393941600523</v>
      </c>
      <c r="X158" s="20"/>
      <c r="Z158" s="20"/>
    </row>
    <row r="159" spans="3:26" x14ac:dyDescent="0.2">
      <c r="C159" s="20"/>
      <c r="F159" s="20"/>
      <c r="H159" s="307" t="s">
        <v>250</v>
      </c>
      <c r="I159" s="307">
        <v>13733</v>
      </c>
      <c r="J159" s="18">
        <f>I159/I162</f>
        <v>0.31046955892659328</v>
      </c>
      <c r="L159" s="80">
        <f>J156*$J$159</f>
        <v>8814.541247484909</v>
      </c>
      <c r="P159" s="20">
        <v>361</v>
      </c>
      <c r="Q159" s="20">
        <v>1500</v>
      </c>
      <c r="R159" s="18">
        <f>Q159/Q162</f>
        <v>0.10922595208621569</v>
      </c>
      <c r="S159" s="18"/>
      <c r="T159" s="80">
        <f>Q156*R159</f>
        <v>962.82676763999132</v>
      </c>
      <c r="X159" s="20"/>
      <c r="Z159" s="20"/>
    </row>
    <row r="160" spans="3:26" x14ac:dyDescent="0.2">
      <c r="C160" s="20"/>
      <c r="F160" s="20"/>
      <c r="H160" s="307" t="s">
        <v>251</v>
      </c>
      <c r="I160" s="307">
        <v>10000</v>
      </c>
      <c r="J160" s="18">
        <f>I160/I162</f>
        <v>0.22607555445029728</v>
      </c>
      <c r="L160" s="80">
        <f>J156*$J$160</f>
        <v>6418.5110663983905</v>
      </c>
      <c r="P160" s="20">
        <v>363</v>
      </c>
      <c r="Q160" s="20">
        <v>7500</v>
      </c>
      <c r="R160" s="18">
        <f>Q160/Q162</f>
        <v>0.54612976043107841</v>
      </c>
      <c r="S160" s="18"/>
      <c r="T160" s="80">
        <f>Q156*R160</f>
        <v>4814.1338381999558</v>
      </c>
      <c r="X160" s="20"/>
      <c r="Z160" s="20"/>
    </row>
    <row r="161" spans="3:26" x14ac:dyDescent="0.2">
      <c r="C161" s="20"/>
      <c r="F161" s="20"/>
      <c r="J161" s="20"/>
      <c r="X161" s="20"/>
      <c r="Z161" s="20"/>
    </row>
    <row r="162" spans="3:26" x14ac:dyDescent="0.2">
      <c r="C162" s="20"/>
      <c r="F162" s="20"/>
      <c r="I162" s="307">
        <f>SUM(I158:I160)</f>
        <v>44233</v>
      </c>
      <c r="J162" s="20"/>
      <c r="Q162" s="20">
        <f>SUM(Q158:Q160)</f>
        <v>13733</v>
      </c>
      <c r="X162" s="20"/>
      <c r="Z162" s="20"/>
    </row>
    <row r="163" spans="3:26" x14ac:dyDescent="0.2">
      <c r="C163" s="20"/>
      <c r="F163" s="20"/>
      <c r="J163" s="20"/>
      <c r="X163" s="20"/>
      <c r="Z163" s="20"/>
    </row>
    <row r="164" spans="3:26" x14ac:dyDescent="0.2">
      <c r="C164" s="20"/>
      <c r="F164" s="20"/>
      <c r="J164" s="20"/>
      <c r="X164" s="20"/>
      <c r="Z164" s="20"/>
    </row>
    <row r="165" spans="3:26" x14ac:dyDescent="0.2">
      <c r="C165" s="20"/>
      <c r="F165" s="20"/>
      <c r="H165" s="458"/>
      <c r="I165" s="459" t="s">
        <v>252</v>
      </c>
      <c r="J165" s="78">
        <v>14260</v>
      </c>
      <c r="K165" s="78"/>
      <c r="P165" s="20" t="s">
        <v>254</v>
      </c>
      <c r="Q165" s="20">
        <v>6506</v>
      </c>
      <c r="X165" s="20"/>
      <c r="Z165" s="20"/>
    </row>
    <row r="166" spans="3:26" x14ac:dyDescent="0.2">
      <c r="C166" s="20"/>
      <c r="F166" s="20"/>
      <c r="H166" s="458" t="s">
        <v>253</v>
      </c>
      <c r="J166" s="20"/>
      <c r="N166" s="20" t="s">
        <v>255</v>
      </c>
      <c r="X166" s="20"/>
      <c r="Z166" s="20"/>
    </row>
    <row r="167" spans="3:26" x14ac:dyDescent="0.2">
      <c r="C167" s="20"/>
      <c r="F167" s="20"/>
      <c r="H167" s="458">
        <v>355</v>
      </c>
      <c r="I167" s="307">
        <v>5205</v>
      </c>
      <c r="J167" s="18">
        <f>I167/I170</f>
        <v>0.22430510665804784</v>
      </c>
      <c r="K167" s="80">
        <f>J165*J167</f>
        <v>3198.5908209437621</v>
      </c>
      <c r="N167" s="20">
        <v>364</v>
      </c>
      <c r="P167" s="20">
        <v>3600</v>
      </c>
      <c r="Q167" s="461">
        <f>P167/P170</f>
        <v>0.34003967129498441</v>
      </c>
      <c r="R167" s="80">
        <f>Q165*Q167</f>
        <v>2212.2981014451684</v>
      </c>
      <c r="X167" s="20"/>
      <c r="Z167" s="20"/>
    </row>
    <row r="168" spans="3:26" x14ac:dyDescent="0.2">
      <c r="C168" s="20"/>
      <c r="F168" s="20"/>
      <c r="H168" s="458">
        <v>356</v>
      </c>
      <c r="I168" s="307">
        <v>18000</v>
      </c>
      <c r="J168" s="18">
        <f>I168/I170</f>
        <v>0.77569489334195219</v>
      </c>
      <c r="K168" s="80">
        <f>J165*J168</f>
        <v>11061.409179056238</v>
      </c>
      <c r="N168" s="20">
        <v>365</v>
      </c>
      <c r="P168" s="20">
        <v>6000</v>
      </c>
      <c r="Q168" s="461">
        <f>P168/P170</f>
        <v>0.56673278549164074</v>
      </c>
      <c r="R168" s="80">
        <f>Q165*Q168</f>
        <v>3687.1635024086145</v>
      </c>
      <c r="X168" s="20"/>
      <c r="Z168" s="20"/>
    </row>
    <row r="169" spans="3:26" x14ac:dyDescent="0.2">
      <c r="C169" s="20"/>
      <c r="F169" s="20"/>
      <c r="H169" s="460"/>
      <c r="J169" s="20"/>
      <c r="N169" s="20" t="s">
        <v>257</v>
      </c>
      <c r="P169" s="20">
        <v>987</v>
      </c>
      <c r="Q169" s="461">
        <f>P169/P170</f>
        <v>9.3227543213374897E-2</v>
      </c>
      <c r="R169" s="80">
        <f>Q165*Q169</f>
        <v>606.53839614621711</v>
      </c>
      <c r="X169" s="20"/>
      <c r="Z169" s="20"/>
    </row>
    <row r="170" spans="3:26" x14ac:dyDescent="0.2">
      <c r="C170" s="20"/>
      <c r="F170" s="20"/>
      <c r="H170" s="458"/>
      <c r="I170" s="458">
        <f>SUM(I167:I168)</f>
        <v>23205</v>
      </c>
      <c r="J170" s="78"/>
      <c r="K170" s="78"/>
      <c r="P170" s="20">
        <f>SUM(P167:P169)</f>
        <v>10587</v>
      </c>
      <c r="X170" s="20"/>
      <c r="Z170" s="20"/>
    </row>
    <row r="171" spans="3:26" ht="15" x14ac:dyDescent="0.25">
      <c r="C171" s="20"/>
      <c r="F171" s="20"/>
      <c r="G171" s="305"/>
      <c r="H171" s="306"/>
      <c r="J171" s="20"/>
      <c r="X171" s="20"/>
      <c r="Z171" s="20"/>
    </row>
    <row r="172" spans="3:26" x14ac:dyDescent="0.2">
      <c r="C172" s="20"/>
      <c r="F172" s="20"/>
      <c r="J172" s="20"/>
      <c r="X172" s="20"/>
      <c r="Z172" s="20"/>
    </row>
    <row r="173" spans="3:26" x14ac:dyDescent="0.2">
      <c r="C173" s="20"/>
      <c r="F173" s="20"/>
      <c r="J173" s="20"/>
      <c r="X173" s="20"/>
      <c r="Z173" s="20"/>
    </row>
  </sheetData>
  <autoFilter ref="A1:AN152">
    <filterColumn colId="27" showButton="0"/>
    <filterColumn colId="28" showButton="0"/>
    <filterColumn colId="29" showButton="0"/>
  </autoFilter>
  <mergeCells count="87">
    <mergeCell ref="AQ2:AU2"/>
    <mergeCell ref="AB15:AC15"/>
    <mergeCell ref="AB16:AC16"/>
    <mergeCell ref="AB17:AC17"/>
    <mergeCell ref="AB1:AE1"/>
    <mergeCell ref="AF1:AF2"/>
    <mergeCell ref="AG1:AG2"/>
    <mergeCell ref="N2:N26"/>
    <mergeCell ref="P2:P26"/>
    <mergeCell ref="N27:N49"/>
    <mergeCell ref="P27:P49"/>
    <mergeCell ref="Y33:Y34"/>
    <mergeCell ref="N50:N55"/>
    <mergeCell ref="P50:P55"/>
    <mergeCell ref="Y55:AD55"/>
    <mergeCell ref="N81:N84"/>
    <mergeCell ref="M56:M57"/>
    <mergeCell ref="N56:N57"/>
    <mergeCell ref="Y56:AD56"/>
    <mergeCell ref="Y66:Z66"/>
    <mergeCell ref="Y67:Z67"/>
    <mergeCell ref="Y68:Z68"/>
    <mergeCell ref="Y69:Z69"/>
    <mergeCell ref="AA72:AC72"/>
    <mergeCell ref="AK72:AK74"/>
    <mergeCell ref="AL72:AL74"/>
    <mergeCell ref="AB75:AD75"/>
    <mergeCell ref="M85:M103"/>
    <mergeCell ref="N85:N93"/>
    <mergeCell ref="Y92:Y96"/>
    <mergeCell ref="N94:N103"/>
    <mergeCell ref="Y97:Y101"/>
    <mergeCell ref="Y102:Y106"/>
    <mergeCell ref="A113:A114"/>
    <mergeCell ref="B113:B114"/>
    <mergeCell ref="G113:H113"/>
    <mergeCell ref="I113:L113"/>
    <mergeCell ref="K114:L114"/>
    <mergeCell ref="K119:L119"/>
    <mergeCell ref="G120:G124"/>
    <mergeCell ref="K120:L120"/>
    <mergeCell ref="K121:L121"/>
    <mergeCell ref="K122:L122"/>
    <mergeCell ref="K123:L123"/>
    <mergeCell ref="K124:L124"/>
    <mergeCell ref="G115:G119"/>
    <mergeCell ref="K115:L115"/>
    <mergeCell ref="K116:L116"/>
    <mergeCell ref="K117:L117"/>
    <mergeCell ref="K118:L118"/>
    <mergeCell ref="G125:H125"/>
    <mergeCell ref="K125:L125"/>
    <mergeCell ref="G126:H126"/>
    <mergeCell ref="I126:L126"/>
    <mergeCell ref="K127:L127"/>
    <mergeCell ref="K132:L132"/>
    <mergeCell ref="G133:G137"/>
    <mergeCell ref="K133:L133"/>
    <mergeCell ref="K134:L134"/>
    <mergeCell ref="K135:L135"/>
    <mergeCell ref="K136:L136"/>
    <mergeCell ref="K137:L137"/>
    <mergeCell ref="G128:G132"/>
    <mergeCell ref="K128:L128"/>
    <mergeCell ref="K129:L129"/>
    <mergeCell ref="K130:L130"/>
    <mergeCell ref="K131:L131"/>
    <mergeCell ref="G138:H138"/>
    <mergeCell ref="K138:L138"/>
    <mergeCell ref="G139:L139"/>
    <mergeCell ref="K140:L140"/>
    <mergeCell ref="G141:G145"/>
    <mergeCell ref="K141:L141"/>
    <mergeCell ref="K142:L142"/>
    <mergeCell ref="K143:L143"/>
    <mergeCell ref="K144:L144"/>
    <mergeCell ref="K145:L145"/>
    <mergeCell ref="G151:H151"/>
    <mergeCell ref="K151:L151"/>
    <mergeCell ref="G152:H152"/>
    <mergeCell ref="K152:L152"/>
    <mergeCell ref="G146:G150"/>
    <mergeCell ref="K146:L146"/>
    <mergeCell ref="K147:L147"/>
    <mergeCell ref="K148:L148"/>
    <mergeCell ref="K149:L149"/>
    <mergeCell ref="K150:L150"/>
  </mergeCells>
  <conditionalFormatting sqref="AA78">
    <cfRule type="cellIs" dxfId="184" priority="3" operator="lessThan">
      <formula>$AA$78</formula>
    </cfRule>
    <cfRule type="cellIs" dxfId="183" priority="5" operator="greaterThan">
      <formula>$AE$78</formula>
    </cfRule>
  </conditionalFormatting>
  <conditionalFormatting sqref="AA79">
    <cfRule type="cellIs" dxfId="182" priority="4" operator="greaterThan">
      <formula>$AE$79</formula>
    </cfRule>
  </conditionalFormatting>
  <conditionalFormatting sqref="AA80">
    <cfRule type="cellIs" dxfId="181" priority="2" operator="greaterThan">
      <formula>$AE$79</formula>
    </cfRule>
  </conditionalFormatting>
  <conditionalFormatting sqref="AU4:AU23">
    <cfRule type="cellIs" dxfId="180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CAP May 11</vt:lpstr>
      <vt:lpstr>CAP May 24</vt:lpstr>
      <vt:lpstr>CAP May 24 (2)</vt:lpstr>
      <vt:lpstr>Octubre 01</vt:lpstr>
      <vt:lpstr>Octubre 02</vt:lpstr>
      <vt:lpstr>Octubre 03</vt:lpstr>
      <vt:lpstr>Octubre 04</vt:lpstr>
      <vt:lpstr>Octubre 05</vt:lpstr>
      <vt:lpstr>Octubre 06</vt:lpstr>
      <vt:lpstr>Octubre 06 (2)</vt:lpstr>
      <vt:lpstr>Octubre 07</vt:lpstr>
      <vt:lpstr>Octubre 07 (2)</vt:lpstr>
      <vt:lpstr>Octubre 07 (3)</vt:lpstr>
      <vt:lpstr>Octubre 07 (4)</vt:lpstr>
      <vt:lpstr>Octubre 07 (5)</vt:lpstr>
      <vt:lpstr>Octubre 08</vt:lpstr>
      <vt:lpstr>Octubre 09</vt:lpstr>
      <vt:lpstr>Octubre 09 (2)</vt:lpstr>
      <vt:lpstr>Octubre 10</vt:lpstr>
      <vt:lpstr>Octubre 11</vt:lpstr>
      <vt:lpstr>Octubre 12</vt:lpstr>
      <vt:lpstr>Octubre 12 (2)</vt:lpstr>
      <vt:lpstr>Octubre 13</vt:lpstr>
      <vt:lpstr>Octubre 14</vt:lpstr>
      <vt:lpstr>Octubre 15</vt:lpstr>
      <vt:lpstr>Octubre 16</vt:lpstr>
      <vt:lpstr>Octubre 17</vt:lpstr>
      <vt:lpstr>Octubre 17 (2)</vt:lpstr>
      <vt:lpstr>Octubre 18</vt:lpstr>
      <vt:lpstr>Octubre 18 (2)</vt:lpstr>
      <vt:lpstr>Octubre 19</vt:lpstr>
      <vt:lpstr>Octubre 20</vt:lpstr>
      <vt:lpstr>Octubre 20 (2)</vt:lpstr>
      <vt:lpstr>Octubre 21</vt:lpstr>
      <vt:lpstr>Octubre 21 (2)</vt:lpstr>
      <vt:lpstr>Octubre 22</vt:lpstr>
      <vt:lpstr>Octubre 22 (2)</vt:lpstr>
      <vt:lpstr>Octubre 23</vt:lpstr>
      <vt:lpstr>Ago 13 14 (3)</vt:lpstr>
      <vt:lpstr>Octubre 24</vt:lpstr>
      <vt:lpstr>Octubre 24 (2)</vt:lpstr>
      <vt:lpstr>Octubre 24 (3)</vt:lpstr>
      <vt:lpstr>Octubre 25</vt:lpstr>
      <vt:lpstr>Octubre 25 (2)</vt:lpstr>
      <vt:lpstr>Octubre 25 (3)</vt:lpstr>
      <vt:lpstr>Octubre 26</vt:lpstr>
      <vt:lpstr>Sheet1</vt:lpstr>
    </vt:vector>
  </TitlesOfParts>
  <Company>Chevron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Zalamea</dc:creator>
  <cp:lastModifiedBy>Adriana Arias</cp:lastModifiedBy>
  <cp:lastPrinted>2014-02-11T01:46:39Z</cp:lastPrinted>
  <dcterms:created xsi:type="dcterms:W3CDTF">2014-01-31T11:44:21Z</dcterms:created>
  <dcterms:modified xsi:type="dcterms:W3CDTF">2014-10-26T01:39:51Z</dcterms:modified>
</cp:coreProperties>
</file>